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\Desktop\Work done + filed\"/>
    </mc:Choice>
  </mc:AlternateContent>
  <bookViews>
    <workbookView xWindow="0" yWindow="0" windowWidth="20490" windowHeight="7680" activeTab="4" xr2:uid="{00000000-000D-0000-FFFF-FFFF00000000}"/>
  </bookViews>
  <sheets>
    <sheet name="Top Sheet" sheetId="1" r:id="rId1"/>
    <sheet name="Notes" sheetId="6" r:id="rId2"/>
    <sheet name="Assets" sheetId="2" r:id="rId3"/>
    <sheet name="General Account" sheetId="3" r:id="rId4"/>
    <sheet name="John Launders" sheetId="4" r:id="rId5"/>
    <sheet name="Diane Launders" sheetId="5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5" l="1"/>
  <c r="F52" i="5"/>
  <c r="D52" i="5"/>
  <c r="E52" i="5" s="1"/>
  <c r="I52" i="5" s="1"/>
  <c r="G52" i="4"/>
  <c r="I52" i="4" s="1"/>
  <c r="J52" i="4" s="1"/>
  <c r="F52" i="4"/>
  <c r="H52" i="4" s="1"/>
  <c r="E52" i="4"/>
  <c r="D52" i="4"/>
  <c r="D51" i="4"/>
  <c r="H52" i="5" l="1"/>
  <c r="J52" i="5" s="1"/>
  <c r="F51" i="4"/>
  <c r="F50" i="4"/>
  <c r="F49" i="4"/>
  <c r="C49" i="4"/>
  <c r="F48" i="4"/>
  <c r="C48" i="4"/>
  <c r="F47" i="4"/>
  <c r="C47" i="4"/>
  <c r="F46" i="4"/>
  <c r="C46" i="4"/>
  <c r="F45" i="4"/>
  <c r="C45" i="4"/>
  <c r="F44" i="4"/>
  <c r="C44" i="4"/>
  <c r="F43" i="4"/>
  <c r="F42" i="4"/>
  <c r="C42" i="4"/>
  <c r="F41" i="4"/>
  <c r="C41" i="4"/>
  <c r="F40" i="4"/>
  <c r="C40" i="4"/>
  <c r="F39" i="4"/>
  <c r="C39" i="4"/>
  <c r="F38" i="4"/>
  <c r="C38" i="4"/>
  <c r="F37" i="4"/>
  <c r="C37" i="4"/>
  <c r="F36" i="4"/>
  <c r="C36" i="4"/>
  <c r="F35" i="4"/>
  <c r="C35" i="4"/>
  <c r="F34" i="4"/>
  <c r="C34" i="4"/>
  <c r="F33" i="4"/>
  <c r="C33" i="4"/>
  <c r="F32" i="4"/>
  <c r="C32" i="4"/>
  <c r="F31" i="4"/>
  <c r="C31" i="4"/>
  <c r="F30" i="4"/>
  <c r="F29" i="4"/>
  <c r="C29" i="4"/>
  <c r="F28" i="4"/>
  <c r="C28" i="4"/>
  <c r="F27" i="4"/>
  <c r="C27" i="4"/>
  <c r="C26" i="4"/>
  <c r="C25" i="4"/>
  <c r="C24" i="4"/>
  <c r="C23" i="4"/>
  <c r="D22" i="4"/>
  <c r="D23" i="4" s="1"/>
  <c r="C22" i="4"/>
  <c r="H21" i="4"/>
  <c r="C21" i="4"/>
  <c r="H18" i="4"/>
  <c r="E18" i="4"/>
  <c r="I18" i="4" s="1"/>
  <c r="J18" i="4" s="1"/>
  <c r="I17" i="4"/>
  <c r="H17" i="4"/>
  <c r="J17" i="4" s="1"/>
  <c r="E17" i="4"/>
  <c r="D17" i="4"/>
  <c r="D18" i="4" s="1"/>
  <c r="D19" i="4" s="1"/>
  <c r="C17" i="4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27" i="5"/>
  <c r="D20" i="4" l="1"/>
  <c r="H19" i="4"/>
  <c r="D24" i="4"/>
  <c r="H23" i="4"/>
  <c r="E19" i="4"/>
  <c r="I19" i="4" s="1"/>
  <c r="J19" i="4" s="1"/>
  <c r="H22" i="4"/>
  <c r="B8" i="5"/>
  <c r="F51" i="5"/>
  <c r="F50" i="5"/>
  <c r="F49" i="5"/>
  <c r="C49" i="5"/>
  <c r="F48" i="5"/>
  <c r="C48" i="5"/>
  <c r="F47" i="5"/>
  <c r="C47" i="5"/>
  <c r="F46" i="5"/>
  <c r="C46" i="5"/>
  <c r="F45" i="5"/>
  <c r="C45" i="5"/>
  <c r="F44" i="5"/>
  <c r="C44" i="5"/>
  <c r="F43" i="5"/>
  <c r="F42" i="5"/>
  <c r="C42" i="5"/>
  <c r="F41" i="5"/>
  <c r="C41" i="5"/>
  <c r="F40" i="5"/>
  <c r="C40" i="5"/>
  <c r="F39" i="5"/>
  <c r="C39" i="5"/>
  <c r="F38" i="5"/>
  <c r="C38" i="5"/>
  <c r="F37" i="5"/>
  <c r="C37" i="5"/>
  <c r="F36" i="5"/>
  <c r="C36" i="5"/>
  <c r="F35" i="5"/>
  <c r="C35" i="5"/>
  <c r="F34" i="5"/>
  <c r="C34" i="5"/>
  <c r="F33" i="5"/>
  <c r="C33" i="5"/>
  <c r="F32" i="5"/>
  <c r="C32" i="5"/>
  <c r="F31" i="5"/>
  <c r="C31" i="5"/>
  <c r="F30" i="5"/>
  <c r="F29" i="5"/>
  <c r="C29" i="5"/>
  <c r="F28" i="5"/>
  <c r="C28" i="5"/>
  <c r="F27" i="5"/>
  <c r="C27" i="5"/>
  <c r="C26" i="5"/>
  <c r="C25" i="5"/>
  <c r="C24" i="5"/>
  <c r="C23" i="5"/>
  <c r="C22" i="5"/>
  <c r="D22" i="5" s="1"/>
  <c r="H21" i="5"/>
  <c r="C21" i="5"/>
  <c r="E17" i="5"/>
  <c r="I17" i="5" s="1"/>
  <c r="C17" i="5"/>
  <c r="D17" i="5" s="1"/>
  <c r="B8" i="4"/>
  <c r="B4" i="5"/>
  <c r="B4" i="4"/>
  <c r="D25" i="4" l="1"/>
  <c r="H24" i="4"/>
  <c r="H20" i="4"/>
  <c r="E20" i="4"/>
  <c r="I20" i="4" s="1"/>
  <c r="B3" i="5"/>
  <c r="B5" i="5" s="1"/>
  <c r="C13" i="1" s="1"/>
  <c r="B9" i="5"/>
  <c r="E13" i="1" s="1"/>
  <c r="B6" i="1"/>
  <c r="H22" i="5"/>
  <c r="D23" i="5"/>
  <c r="D18" i="5"/>
  <c r="H17" i="5"/>
  <c r="J17" i="5" s="1"/>
  <c r="E18" i="5"/>
  <c r="B3" i="4"/>
  <c r="B7" i="2" s="1"/>
  <c r="J20" i="4" l="1"/>
  <c r="E21" i="4" s="1"/>
  <c r="I21" i="4" s="1"/>
  <c r="J21" i="4" s="1"/>
  <c r="E22" i="4" s="1"/>
  <c r="D26" i="4"/>
  <c r="H25" i="4"/>
  <c r="F13" i="1"/>
  <c r="B5" i="1"/>
  <c r="E19" i="5"/>
  <c r="I18" i="5"/>
  <c r="D24" i="5"/>
  <c r="H23" i="5"/>
  <c r="H18" i="5"/>
  <c r="D19" i="5"/>
  <c r="B9" i="4"/>
  <c r="E12" i="1" s="1"/>
  <c r="B5" i="4"/>
  <c r="D27" i="4" l="1"/>
  <c r="H26" i="4"/>
  <c r="E23" i="4"/>
  <c r="I23" i="4" s="1"/>
  <c r="J23" i="4" s="1"/>
  <c r="E24" i="4" s="1"/>
  <c r="I24" i="4" s="1"/>
  <c r="J24" i="4" s="1"/>
  <c r="E25" i="4" s="1"/>
  <c r="I25" i="4" s="1"/>
  <c r="J25" i="4" s="1"/>
  <c r="E26" i="4" s="1"/>
  <c r="I26" i="4" s="1"/>
  <c r="J26" i="4" s="1"/>
  <c r="G27" i="4" s="1"/>
  <c r="I22" i="4"/>
  <c r="J22" i="4" s="1"/>
  <c r="C12" i="1"/>
  <c r="F12" i="1" s="1"/>
  <c r="B8" i="1"/>
  <c r="E20" i="1"/>
  <c r="H24" i="5"/>
  <c r="D25" i="5"/>
  <c r="H19" i="5"/>
  <c r="D20" i="5"/>
  <c r="J18" i="5"/>
  <c r="I19" i="5"/>
  <c r="E27" i="4" l="1"/>
  <c r="I27" i="4" s="1"/>
  <c r="J27" i="4" s="1"/>
  <c r="G28" i="4" s="1"/>
  <c r="D28" i="4"/>
  <c r="H27" i="4"/>
  <c r="H20" i="5"/>
  <c r="D13" i="1"/>
  <c r="B6" i="5"/>
  <c r="B6" i="4"/>
  <c r="C20" i="1"/>
  <c r="D12" i="1"/>
  <c r="D20" i="1" s="1"/>
  <c r="J19" i="5"/>
  <c r="E20" i="5" s="1"/>
  <c r="I20" i="5" s="1"/>
  <c r="J20" i="5" s="1"/>
  <c r="D26" i="5"/>
  <c r="H25" i="5"/>
  <c r="E28" i="4" l="1"/>
  <c r="I28" i="4" s="1"/>
  <c r="D29" i="4"/>
  <c r="H28" i="4"/>
  <c r="E21" i="5"/>
  <c r="I21" i="5" s="1"/>
  <c r="J21" i="5" s="1"/>
  <c r="E22" i="5" s="1"/>
  <c r="H26" i="5"/>
  <c r="D27" i="5"/>
  <c r="H29" i="4" l="1"/>
  <c r="D31" i="4"/>
  <c r="D30" i="4"/>
  <c r="J28" i="4"/>
  <c r="G29" i="4" s="1"/>
  <c r="E23" i="5"/>
  <c r="I23" i="5" s="1"/>
  <c r="J23" i="5" s="1"/>
  <c r="E24" i="5" s="1"/>
  <c r="I22" i="5"/>
  <c r="J22" i="5" s="1"/>
  <c r="D28" i="5"/>
  <c r="H30" i="4" l="1"/>
  <c r="D32" i="4"/>
  <c r="H31" i="4"/>
  <c r="E29" i="4"/>
  <c r="I29" i="4" s="1"/>
  <c r="J29" i="4" s="1"/>
  <c r="G30" i="4" s="1"/>
  <c r="I24" i="5"/>
  <c r="J24" i="5" s="1"/>
  <c r="E25" i="5" s="1"/>
  <c r="D29" i="5"/>
  <c r="D33" i="4" l="1"/>
  <c r="H32" i="4"/>
  <c r="E30" i="4"/>
  <c r="I30" i="4" s="1"/>
  <c r="J30" i="4" s="1"/>
  <c r="I25" i="5"/>
  <c r="J25" i="5" s="1"/>
  <c r="E26" i="5" s="1"/>
  <c r="D31" i="5"/>
  <c r="D30" i="5"/>
  <c r="G31" i="4" l="1"/>
  <c r="E31" i="4"/>
  <c r="I31" i="4" s="1"/>
  <c r="J31" i="4" s="1"/>
  <c r="D34" i="4"/>
  <c r="H33" i="4"/>
  <c r="I26" i="5"/>
  <c r="J26" i="5" s="1"/>
  <c r="E27" i="5" s="1"/>
  <c r="D32" i="5"/>
  <c r="D35" i="4" l="1"/>
  <c r="H34" i="4"/>
  <c r="G32" i="4"/>
  <c r="E32" i="4"/>
  <c r="G27" i="5"/>
  <c r="I27" i="5" s="1"/>
  <c r="D33" i="5"/>
  <c r="D36" i="4" l="1"/>
  <c r="H35" i="4"/>
  <c r="I32" i="4"/>
  <c r="J32" i="4" s="1"/>
  <c r="J27" i="5"/>
  <c r="E28" i="5" s="1"/>
  <c r="D34" i="5"/>
  <c r="D37" i="4" l="1"/>
  <c r="H36" i="4"/>
  <c r="G33" i="4"/>
  <c r="E33" i="4"/>
  <c r="G28" i="5"/>
  <c r="I28" i="5" s="1"/>
  <c r="D35" i="5"/>
  <c r="D38" i="4" l="1"/>
  <c r="H37" i="4"/>
  <c r="I33" i="4"/>
  <c r="J33" i="4" s="1"/>
  <c r="J28" i="5"/>
  <c r="E29" i="5" s="1"/>
  <c r="D36" i="5"/>
  <c r="G34" i="4" l="1"/>
  <c r="E34" i="4"/>
  <c r="I34" i="4" s="1"/>
  <c r="J34" i="4" s="1"/>
  <c r="D39" i="4"/>
  <c r="H38" i="4"/>
  <c r="G29" i="5"/>
  <c r="I29" i="5" s="1"/>
  <c r="D37" i="5"/>
  <c r="D40" i="4" l="1"/>
  <c r="H39" i="4"/>
  <c r="G35" i="4"/>
  <c r="E35" i="4"/>
  <c r="J29" i="5"/>
  <c r="E30" i="5" s="1"/>
  <c r="D38" i="5"/>
  <c r="D41" i="4" l="1"/>
  <c r="H40" i="4"/>
  <c r="I35" i="4"/>
  <c r="J35" i="4" s="1"/>
  <c r="G30" i="5"/>
  <c r="I30" i="5" s="1"/>
  <c r="D39" i="5"/>
  <c r="G36" i="4" l="1"/>
  <c r="E36" i="4"/>
  <c r="I36" i="4" s="1"/>
  <c r="J36" i="4" s="1"/>
  <c r="D42" i="4"/>
  <c r="H41" i="4"/>
  <c r="J30" i="5"/>
  <c r="E31" i="5" s="1"/>
  <c r="D40" i="5"/>
  <c r="D44" i="4" l="1"/>
  <c r="D43" i="4"/>
  <c r="H42" i="4"/>
  <c r="G37" i="4"/>
  <c r="E37" i="4"/>
  <c r="I37" i="4" s="1"/>
  <c r="J37" i="4" s="1"/>
  <c r="G31" i="5"/>
  <c r="I31" i="5" s="1"/>
  <c r="J31" i="5" s="1"/>
  <c r="E32" i="5" s="1"/>
  <c r="D41" i="5"/>
  <c r="G38" i="4" l="1"/>
  <c r="E38" i="4"/>
  <c r="I38" i="4" s="1"/>
  <c r="J38" i="4" s="1"/>
  <c r="H43" i="4"/>
  <c r="D45" i="4"/>
  <c r="H44" i="4"/>
  <c r="G32" i="5"/>
  <c r="I32" i="5" s="1"/>
  <c r="J32" i="5" s="1"/>
  <c r="E33" i="5" s="1"/>
  <c r="D42" i="5"/>
  <c r="G39" i="4" l="1"/>
  <c r="E39" i="4"/>
  <c r="I39" i="4" s="1"/>
  <c r="J39" i="4" s="1"/>
  <c r="D46" i="4"/>
  <c r="H45" i="4"/>
  <c r="G33" i="5"/>
  <c r="I33" i="5" s="1"/>
  <c r="D44" i="5"/>
  <c r="D43" i="5"/>
  <c r="G40" i="4" l="1"/>
  <c r="E40" i="4"/>
  <c r="D47" i="4"/>
  <c r="H46" i="4"/>
  <c r="J33" i="5"/>
  <c r="E34" i="5" s="1"/>
  <c r="D45" i="5"/>
  <c r="D48" i="4" l="1"/>
  <c r="H47" i="4"/>
  <c r="I40" i="4"/>
  <c r="J40" i="4" s="1"/>
  <c r="G34" i="5"/>
  <c r="I34" i="5" s="1"/>
  <c r="D46" i="5"/>
  <c r="G41" i="4" l="1"/>
  <c r="E41" i="4"/>
  <c r="I41" i="4" s="1"/>
  <c r="J41" i="4" s="1"/>
  <c r="D49" i="4"/>
  <c r="H48" i="4"/>
  <c r="J34" i="5"/>
  <c r="E35" i="5" s="1"/>
  <c r="D47" i="5"/>
  <c r="G42" i="4" l="1"/>
  <c r="E42" i="4"/>
  <c r="I42" i="4" s="1"/>
  <c r="J42" i="4" s="1"/>
  <c r="H49" i="4"/>
  <c r="D50" i="4"/>
  <c r="G35" i="5"/>
  <c r="I35" i="5" s="1"/>
  <c r="D48" i="5"/>
  <c r="H50" i="4" l="1"/>
  <c r="G43" i="4"/>
  <c r="E43" i="4"/>
  <c r="I43" i="4" s="1"/>
  <c r="J43" i="4" s="1"/>
  <c r="H51" i="4"/>
  <c r="J35" i="5"/>
  <c r="E36" i="5" s="1"/>
  <c r="D49" i="5"/>
  <c r="G44" i="4" l="1"/>
  <c r="E44" i="4"/>
  <c r="I44" i="4" s="1"/>
  <c r="J44" i="4" s="1"/>
  <c r="G36" i="5"/>
  <c r="I36" i="5" s="1"/>
  <c r="D51" i="5"/>
  <c r="D50" i="5"/>
  <c r="G45" i="4" l="1"/>
  <c r="E45" i="4"/>
  <c r="I45" i="4" s="1"/>
  <c r="J45" i="4" s="1"/>
  <c r="J36" i="5"/>
  <c r="E37" i="5" s="1"/>
  <c r="G46" i="4" l="1"/>
  <c r="E46" i="4"/>
  <c r="I46" i="4" s="1"/>
  <c r="J46" i="4" s="1"/>
  <c r="G37" i="5"/>
  <c r="I37" i="5" s="1"/>
  <c r="G47" i="4" l="1"/>
  <c r="E47" i="4"/>
  <c r="I47" i="4" s="1"/>
  <c r="J47" i="4" s="1"/>
  <c r="J37" i="5"/>
  <c r="E38" i="5" s="1"/>
  <c r="G48" i="4" l="1"/>
  <c r="E48" i="4"/>
  <c r="G38" i="5"/>
  <c r="I38" i="5" s="1"/>
  <c r="E49" i="4" l="1"/>
  <c r="I48" i="4"/>
  <c r="J48" i="4" s="1"/>
  <c r="G49" i="4" s="1"/>
  <c r="J38" i="5"/>
  <c r="E39" i="5" s="1"/>
  <c r="I49" i="4" l="1"/>
  <c r="J49" i="4" s="1"/>
  <c r="G39" i="5"/>
  <c r="I39" i="5" s="1"/>
  <c r="G50" i="4" l="1"/>
  <c r="E50" i="4"/>
  <c r="I50" i="4" s="1"/>
  <c r="J50" i="4" s="1"/>
  <c r="G51" i="4" s="1"/>
  <c r="E51" i="4"/>
  <c r="J39" i="5"/>
  <c r="E40" i="5" s="1"/>
  <c r="I51" i="4" l="1"/>
  <c r="J51" i="4" s="1"/>
  <c r="G40" i="5"/>
  <c r="I40" i="5" s="1"/>
  <c r="J40" i="5" l="1"/>
  <c r="E41" i="5" s="1"/>
  <c r="G41" i="5" l="1"/>
  <c r="I41" i="5" s="1"/>
  <c r="J41" i="5" l="1"/>
  <c r="E42" i="5" s="1"/>
  <c r="G42" i="5" l="1"/>
  <c r="I42" i="5" l="1"/>
  <c r="J42" i="5" s="1"/>
  <c r="E43" i="5" s="1"/>
  <c r="G43" i="5" l="1"/>
  <c r="I43" i="5" l="1"/>
  <c r="J43" i="5" s="1"/>
  <c r="E44" i="5" s="1"/>
  <c r="G44" i="5" l="1"/>
  <c r="I44" i="5" s="1"/>
  <c r="J44" i="5" s="1"/>
  <c r="E45" i="5" s="1"/>
  <c r="G45" i="5" l="1"/>
  <c r="I45" i="5" l="1"/>
  <c r="J45" i="5" s="1"/>
  <c r="E46" i="5" s="1"/>
  <c r="G46" i="5" l="1"/>
  <c r="I46" i="5" l="1"/>
  <c r="J46" i="5" s="1"/>
  <c r="E47" i="5" s="1"/>
  <c r="G47" i="5" l="1"/>
  <c r="I47" i="5" l="1"/>
  <c r="J47" i="5" s="1"/>
  <c r="E48" i="5" l="1"/>
  <c r="E49" i="5" s="1"/>
  <c r="G48" i="5"/>
  <c r="I48" i="5" l="1"/>
  <c r="J48" i="5" s="1"/>
  <c r="G49" i="5" l="1"/>
  <c r="I49" i="5" l="1"/>
  <c r="J49" i="5" s="1"/>
  <c r="E50" i="5" l="1"/>
  <c r="E51" i="5"/>
  <c r="G50" i="5"/>
  <c r="I50" i="5" l="1"/>
  <c r="J50" i="5" s="1"/>
  <c r="G51" i="5" l="1"/>
  <c r="I51" i="5" s="1"/>
  <c r="J51" i="5" s="1"/>
</calcChain>
</file>

<file path=xl/sharedStrings.xml><?xml version="1.0" encoding="utf-8"?>
<sst xmlns="http://schemas.openxmlformats.org/spreadsheetml/2006/main" count="178" uniqueCount="67">
  <si>
    <t>General Account</t>
  </si>
  <si>
    <t>Notes</t>
  </si>
  <si>
    <t>Asset</t>
  </si>
  <si>
    <t>Value</t>
  </si>
  <si>
    <t>Cash at bank</t>
  </si>
  <si>
    <t>Investments</t>
  </si>
  <si>
    <t>Date</t>
  </si>
  <si>
    <t>Description</t>
  </si>
  <si>
    <t>Amount</t>
  </si>
  <si>
    <t>Cash movement</t>
  </si>
  <si>
    <t>Fund value</t>
  </si>
  <si>
    <t>Fund split</t>
  </si>
  <si>
    <t>Total fund value</t>
  </si>
  <si>
    <t>Total investments</t>
  </si>
  <si>
    <t>Total cash at bank</t>
  </si>
  <si>
    <t>Members</t>
  </si>
  <si>
    <t>Individual Fund Value</t>
  </si>
  <si>
    <t>Individual Fund Split</t>
  </si>
  <si>
    <t>Splits</t>
  </si>
  <si>
    <t>Totals</t>
  </si>
  <si>
    <t>Date of Birth</t>
  </si>
  <si>
    <t>Date of split :</t>
  </si>
  <si>
    <t>Date established :</t>
  </si>
  <si>
    <t>JL Trading Ltd Pension Fund</t>
  </si>
  <si>
    <t>John Launders</t>
  </si>
  <si>
    <t>Diane Launders</t>
  </si>
  <si>
    <t>Portfolio</t>
  </si>
  <si>
    <t>Cash</t>
  </si>
  <si>
    <t>Contribution</t>
  </si>
  <si>
    <t>Crystallisation - TFC</t>
  </si>
  <si>
    <t>Total £400,000 contribution into scheme</t>
  </si>
  <si>
    <t>Total £100,000 contribution into scheme</t>
  </si>
  <si>
    <t>SPLIT OF BALANCE OF CASH</t>
  </si>
  <si>
    <t>First confirmation of actual cash split</t>
  </si>
  <si>
    <t>Interest</t>
  </si>
  <si>
    <t>Combined £67,000 taken TFC by both members</t>
  </si>
  <si>
    <t>Combined £51,238 taken TFC by both members</t>
  </si>
  <si>
    <t>Assumed interest of £34.95 (no statement to confirm, but figures taken from previous and subsequent statement)</t>
  </si>
  <si>
    <t>Did the account stop paying interest after this point? There is an interest summary for between April 2016 and April 2017 that suggests it was</t>
  </si>
  <si>
    <t>Contribution?</t>
  </si>
  <si>
    <t>Total £40,000 contribution into scheme</t>
  </si>
  <si>
    <t>Amount crystallised</t>
  </si>
  <si>
    <t>Crystallised value</t>
  </si>
  <si>
    <t>Crystallised %</t>
  </si>
  <si>
    <t>Assumed interest</t>
  </si>
  <si>
    <t>Cash Crystallised Amount</t>
  </si>
  <si>
    <t>Total Crystallised Amount</t>
  </si>
  <si>
    <t>Running Fund Total</t>
  </si>
  <si>
    <t>Investment Crystallised</t>
  </si>
  <si>
    <t>Investment Total</t>
  </si>
  <si>
    <t>Portfolio Valuation @ half £107,930.72</t>
  </si>
  <si>
    <t>Cash Running total</t>
  </si>
  <si>
    <t>Portfolion Investment valued @ half £97,216.97</t>
  </si>
  <si>
    <t>Portfolio Valuation @ half £96,132.12</t>
  </si>
  <si>
    <t>Portfolio Valuation @ half £94,531.25</t>
  </si>
  <si>
    <t>Crystallised Fund</t>
  </si>
  <si>
    <t>Crystallised Fund %</t>
  </si>
  <si>
    <t>Fund Movement</t>
  </si>
  <si>
    <t>5th April 2017</t>
  </si>
  <si>
    <t>I'm assuming that this is the investment purchase</t>
  </si>
  <si>
    <t>Cash Amount</t>
  </si>
  <si>
    <t>Update</t>
  </si>
  <si>
    <t>14th March 2013</t>
  </si>
  <si>
    <t>12th March 1958</t>
  </si>
  <si>
    <t>27th April 1956</t>
  </si>
  <si>
    <t>Re-jig to recalculate crystallised portion of investment and cash</t>
  </si>
  <si>
    <t>Portfolio Valuation @ half £119,214.86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</si>
</sst>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 wrapText="1"/>
    </xf>
    <xf numFmtId="10" fontId="1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 wrapText="1"/>
    </xf>
    <xf numFmtId="14" fontId="0" fillId="2" borderId="0" xfId="0" applyNumberFormat="1" applyFill="1" applyAlignment="1">
      <alignment horizontal="left"/>
    </xf>
    <xf numFmtId="0" fontId="0" fillId="2" borderId="0" xfId="0" applyFill="1"/>
    <xf numFmtId="164" fontId="0" fillId="2" borderId="0" xfId="0" applyNumberForma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ill="1"/>
    <xf numFmtId="164" fontId="0" fillId="0" borderId="0" xfId="0" applyNumberFormat="1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0" fillId="3" borderId="0" xfId="0" applyFill="1"/>
    <xf numFmtId="164" fontId="0" fillId="3" borderId="0" xfId="0" applyNumberFormat="1" applyFill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0" xfId="0" applyNumberFormat="1" applyFont="1" applyAlignment="1">
      <alignment horizontal="left"/>
    </xf>
    <xf numFmtId="165" fontId="0" fillId="2" borderId="0" xfId="0" applyNumberFormat="1" applyFill="1" applyAlignment="1">
      <alignment horizontal="left"/>
    </xf>
    <xf numFmtId="165" fontId="0" fillId="0" borderId="0" xfId="0" applyNumberFormat="1"/>
    <xf numFmtId="164" fontId="1" fillId="0" borderId="0" xfId="0" applyNumberFormat="1" applyFont="1" applyAlignment="1">
      <alignment horizontal="left" wrapText="1"/>
    </xf>
    <xf numFmtId="165" fontId="0" fillId="0" borderId="0" xfId="0" applyNumberFormat="1" applyFill="1" applyAlignment="1">
      <alignment horizontal="left"/>
    </xf>
    <xf numFmtId="0" fontId="0" fillId="3" borderId="0" xfId="0" applyFill="1" applyAlignment="1">
      <alignment wrapText="1"/>
    </xf>
    <xf numFmtId="0" fontId="0" fillId="2" borderId="0" xfId="0" applyFill="1" applyAlignment="1">
      <alignment wrapText="1"/>
    </xf>
    <xf numFmtId="165" fontId="0" fillId="3" borderId="0" xfId="0" applyNumberFormat="1" applyFill="1" applyAlignment="1">
      <alignment horizontal="left"/>
    </xf>
    <xf numFmtId="164" fontId="0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>
      <selection activeCell="B22" sqref="B22"/>
    </sheetView>
  </sheetViews>
  <sheetFormatPr defaultRowHeight="15" x14ac:dyDescent="0.25"/>
  <cols>
    <col min="1" max="1" width="27.28515625" style="13" customWidth="1"/>
    <col min="2" max="3" width="27.28515625" style="10" customWidth="1"/>
    <col min="4" max="4" width="27.28515625" style="14" customWidth="1"/>
    <col min="5" max="5" width="27.28515625" style="13" customWidth="1"/>
    <col min="6" max="6" width="27.28515625" style="14" customWidth="1"/>
    <col min="7" max="9" width="27.28515625" style="13" customWidth="1"/>
    <col min="10" max="10" width="27.42578125" style="13" customWidth="1"/>
    <col min="11" max="11" width="73.140625" style="17" customWidth="1"/>
    <col min="12" max="16384" width="9.140625" style="13"/>
  </cols>
  <sheetData>
    <row r="1" spans="1:11" x14ac:dyDescent="0.25">
      <c r="A1" s="12" t="s">
        <v>23</v>
      </c>
      <c r="B1" s="13"/>
      <c r="C1" s="11"/>
      <c r="D1" s="19"/>
      <c r="E1" s="12"/>
      <c r="F1" s="19"/>
      <c r="G1" s="12"/>
      <c r="H1" s="12"/>
      <c r="I1" s="12"/>
      <c r="J1" s="12"/>
      <c r="K1" s="15"/>
    </row>
    <row r="2" spans="1:11" x14ac:dyDescent="0.25">
      <c r="A2" s="11" t="s">
        <v>22</v>
      </c>
      <c r="B2" s="39" t="s">
        <v>62</v>
      </c>
      <c r="C2" s="11"/>
      <c r="D2" s="19"/>
      <c r="E2" s="12"/>
      <c r="F2" s="19"/>
      <c r="G2" s="12"/>
      <c r="H2" s="12"/>
      <c r="I2" s="12"/>
      <c r="J2" s="12"/>
      <c r="K2" s="15"/>
    </row>
    <row r="3" spans="1:11" x14ac:dyDescent="0.25">
      <c r="A3" s="12" t="s">
        <v>21</v>
      </c>
      <c r="B3" s="39" t="s">
        <v>58</v>
      </c>
      <c r="C3" s="11"/>
      <c r="D3" s="19"/>
      <c r="E3" s="12"/>
      <c r="F3" s="19"/>
      <c r="G3" s="12"/>
      <c r="H3" s="12"/>
      <c r="I3" s="12"/>
      <c r="J3" s="12"/>
      <c r="K3" s="15"/>
    </row>
    <row r="5" spans="1:11" x14ac:dyDescent="0.25">
      <c r="A5" s="16" t="s">
        <v>14</v>
      </c>
      <c r="B5" s="10">
        <f>'John Launders'!B3+'Diane Launders'!B3</f>
        <v>423116.11000000004</v>
      </c>
    </row>
    <row r="6" spans="1:11" s="10" customFormat="1" x14ac:dyDescent="0.25">
      <c r="A6" s="10" t="s">
        <v>13</v>
      </c>
      <c r="B6" s="10">
        <f>'John Launders'!B4+'Diane Launders'!B4</f>
        <v>119214.86</v>
      </c>
      <c r="D6" s="14"/>
      <c r="F6" s="14"/>
      <c r="K6" s="18"/>
    </row>
    <row r="7" spans="1:11" s="10" customFormat="1" x14ac:dyDescent="0.25">
      <c r="D7" s="14"/>
      <c r="F7" s="14"/>
      <c r="K7" s="18"/>
    </row>
    <row r="8" spans="1:11" s="14" customFormat="1" x14ac:dyDescent="0.25">
      <c r="A8" s="19" t="s">
        <v>12</v>
      </c>
      <c r="B8" s="11">
        <f>'John Launders'!B5+'Diane Launders'!B5</f>
        <v>542330.97000000009</v>
      </c>
      <c r="C8" s="10"/>
      <c r="K8" s="20"/>
    </row>
    <row r="10" spans="1:11" x14ac:dyDescent="0.25">
      <c r="A10" s="12" t="s">
        <v>15</v>
      </c>
      <c r="B10" s="11" t="s">
        <v>20</v>
      </c>
      <c r="C10" s="11" t="s">
        <v>16</v>
      </c>
      <c r="D10" s="19" t="s">
        <v>17</v>
      </c>
      <c r="E10" s="12" t="s">
        <v>55</v>
      </c>
      <c r="F10" s="19" t="s">
        <v>56</v>
      </c>
      <c r="G10" s="12" t="s">
        <v>1</v>
      </c>
    </row>
    <row r="11" spans="1:11" s="10" customFormat="1" x14ac:dyDescent="0.25">
      <c r="D11" s="14"/>
      <c r="F11" s="14"/>
      <c r="K11" s="18"/>
    </row>
    <row r="12" spans="1:11" s="10" customFormat="1" x14ac:dyDescent="0.25">
      <c r="A12" s="10" t="s">
        <v>24</v>
      </c>
      <c r="B12" s="10" t="s">
        <v>63</v>
      </c>
      <c r="C12" s="10">
        <f>'John Launders'!B5</f>
        <v>271165.48500000004</v>
      </c>
      <c r="D12" s="14">
        <f>C12/B8</f>
        <v>0.5</v>
      </c>
      <c r="E12" s="10">
        <f>'John Launders'!B9</f>
        <v>184079.06249934001</v>
      </c>
      <c r="F12" s="14">
        <f>E12/C12</f>
        <v>0.67884399999999989</v>
      </c>
      <c r="K12" s="18"/>
    </row>
    <row r="13" spans="1:11" s="10" customFormat="1" x14ac:dyDescent="0.25">
      <c r="A13" s="10" t="s">
        <v>25</v>
      </c>
      <c r="B13" s="10" t="s">
        <v>64</v>
      </c>
      <c r="C13" s="10">
        <f>'Diane Launders'!B5</f>
        <v>271165.48500000004</v>
      </c>
      <c r="D13" s="14">
        <f>C13/B8</f>
        <v>0.5</v>
      </c>
      <c r="E13" s="10">
        <f>'Diane Launders'!B9</f>
        <v>184079.06249934001</v>
      </c>
      <c r="F13" s="14">
        <f>E13/C13</f>
        <v>0.67884399999999989</v>
      </c>
      <c r="K13" s="18"/>
    </row>
    <row r="14" spans="1:11" s="10" customFormat="1" x14ac:dyDescent="0.25">
      <c r="D14" s="14"/>
      <c r="F14" s="14"/>
      <c r="K14" s="18"/>
    </row>
    <row r="15" spans="1:11" s="10" customFormat="1" x14ac:dyDescent="0.25">
      <c r="D15" s="14"/>
      <c r="F15" s="14"/>
      <c r="K15" s="18"/>
    </row>
    <row r="16" spans="1:11" s="14" customFormat="1" x14ac:dyDescent="0.25">
      <c r="B16" s="10"/>
      <c r="C16" s="10"/>
      <c r="K16" s="20"/>
    </row>
    <row r="17" spans="1:11" s="10" customFormat="1" x14ac:dyDescent="0.25">
      <c r="D17" s="14"/>
      <c r="F17" s="14"/>
      <c r="K17" s="18"/>
    </row>
    <row r="18" spans="1:11" x14ac:dyDescent="0.25">
      <c r="A18" s="10" t="s">
        <v>0</v>
      </c>
      <c r="C18" s="10">
        <v>0</v>
      </c>
      <c r="D18" s="14">
        <v>0</v>
      </c>
      <c r="E18" s="13">
        <v>0</v>
      </c>
    </row>
    <row r="19" spans="1:11" x14ac:dyDescent="0.25">
      <c r="A19" s="12"/>
    </row>
    <row r="20" spans="1:11" s="10" customFormat="1" x14ac:dyDescent="0.25">
      <c r="A20" s="11" t="s">
        <v>19</v>
      </c>
      <c r="C20" s="11">
        <f>SUM(C12:C18)</f>
        <v>542330.97000000009</v>
      </c>
      <c r="D20" s="19">
        <f>SUM(D12:D18)</f>
        <v>1</v>
      </c>
      <c r="E20" s="11">
        <f>SUM(E12:E18)</f>
        <v>368158.12499868002</v>
      </c>
      <c r="F20" s="19"/>
      <c r="K20" s="18"/>
    </row>
    <row r="21" spans="1:11" s="10" customFormat="1" x14ac:dyDescent="0.25">
      <c r="D21" s="14"/>
      <c r="F21" s="14"/>
      <c r="K21" s="18"/>
    </row>
    <row r="22" spans="1:11" s="10" customFormat="1" x14ac:dyDescent="0.25">
      <c r="D22" s="14"/>
      <c r="F22" s="14"/>
      <c r="K22" s="18"/>
    </row>
    <row r="23" spans="1:11" s="10" customFormat="1" x14ac:dyDescent="0.25">
      <c r="D23" s="14"/>
      <c r="F23" s="14"/>
      <c r="K23" s="18"/>
    </row>
    <row r="24" spans="1:11" s="10" customFormat="1" x14ac:dyDescent="0.25">
      <c r="D24" s="14"/>
      <c r="F24" s="14"/>
      <c r="K24" s="18"/>
    </row>
    <row r="25" spans="1:11" s="14" customFormat="1" x14ac:dyDescent="0.25">
      <c r="B25" s="10"/>
      <c r="C25" s="10"/>
      <c r="K25" s="20"/>
    </row>
    <row r="26" spans="1:11" s="10" customFormat="1" x14ac:dyDescent="0.25">
      <c r="D26" s="14"/>
      <c r="F26" s="14"/>
      <c r="K26" s="18"/>
    </row>
    <row r="27" spans="1:11" s="14" customFormat="1" x14ac:dyDescent="0.25">
      <c r="B27" s="10"/>
      <c r="C27" s="10"/>
      <c r="K27" s="2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workbookViewId="0">
      <selection sqref="A1:B1"/>
    </sheetView>
  </sheetViews>
  <sheetFormatPr defaultRowHeight="15" x14ac:dyDescent="0.25"/>
  <cols>
    <col min="1" max="1" width="18.42578125" customWidth="1"/>
    <col min="2" max="2" width="118.85546875" customWidth="1"/>
  </cols>
  <sheetData>
    <row r="1" spans="1:2" x14ac:dyDescent="0.25">
      <c r="A1" s="6" t="s">
        <v>6</v>
      </c>
      <c r="B1" s="6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B6" sqref="B6"/>
    </sheetView>
  </sheetViews>
  <sheetFormatPr defaultRowHeight="15" x14ac:dyDescent="0.25"/>
  <cols>
    <col min="1" max="1" width="27.42578125" style="13" customWidth="1"/>
    <col min="2" max="5" width="18.42578125" style="10" customWidth="1"/>
    <col min="6" max="6" width="59" style="13" customWidth="1"/>
    <col min="7" max="16384" width="9.140625" style="13"/>
  </cols>
  <sheetData>
    <row r="1" spans="1:6" x14ac:dyDescent="0.25">
      <c r="A1" s="12" t="s">
        <v>2</v>
      </c>
      <c r="B1" s="11" t="s">
        <v>3</v>
      </c>
      <c r="C1" s="11"/>
      <c r="D1" s="11" t="s">
        <v>18</v>
      </c>
      <c r="E1" s="11"/>
      <c r="F1" s="12" t="s">
        <v>1</v>
      </c>
    </row>
    <row r="2" spans="1:6" x14ac:dyDescent="0.25">
      <c r="C2" s="8" t="s">
        <v>0</v>
      </c>
      <c r="D2" s="8" t="s">
        <v>24</v>
      </c>
      <c r="E2" s="8" t="s">
        <v>25</v>
      </c>
    </row>
    <row r="4" spans="1:6" x14ac:dyDescent="0.25">
      <c r="C4" s="14"/>
      <c r="D4" s="14"/>
      <c r="E4" s="14"/>
    </row>
    <row r="5" spans="1:6" x14ac:dyDescent="0.25">
      <c r="A5" s="13" t="s">
        <v>26</v>
      </c>
      <c r="B5" s="10">
        <v>119214.86</v>
      </c>
      <c r="C5" s="14">
        <v>0</v>
      </c>
      <c r="D5" s="14">
        <v>0.5</v>
      </c>
      <c r="E5" s="14">
        <v>0.5</v>
      </c>
    </row>
    <row r="7" spans="1:6" x14ac:dyDescent="0.25">
      <c r="A7" s="13" t="s">
        <v>27</v>
      </c>
      <c r="B7" s="10">
        <f>'John Launders'!B3+'Diane Launders'!B3</f>
        <v>423116.11000000004</v>
      </c>
      <c r="C7" s="14">
        <v>0</v>
      </c>
      <c r="D7" s="14">
        <v>0.5</v>
      </c>
      <c r="E7" s="14">
        <v>0.5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2"/>
  <sheetViews>
    <sheetView workbookViewId="0">
      <selection activeCell="A11" sqref="A11"/>
    </sheetView>
  </sheetViews>
  <sheetFormatPr defaultRowHeight="15" x14ac:dyDescent="0.25"/>
  <cols>
    <col min="1" max="1" width="18.28515625" customWidth="1"/>
    <col min="2" max="2" width="36.85546875" style="3" customWidth="1"/>
    <col min="3" max="3" width="18.140625" style="10" customWidth="1"/>
    <col min="4" max="4" width="73.42578125" customWidth="1"/>
    <col min="5" max="5" width="18.5703125" customWidth="1"/>
    <col min="6" max="6" width="27.5703125" customWidth="1"/>
    <col min="7" max="7" width="18.42578125" customWidth="1"/>
  </cols>
  <sheetData>
    <row r="1" spans="1:4" x14ac:dyDescent="0.25">
      <c r="A1" s="6" t="s">
        <v>0</v>
      </c>
    </row>
    <row r="3" spans="1:4" x14ac:dyDescent="0.25">
      <c r="A3" t="s">
        <v>4</v>
      </c>
      <c r="B3" s="4"/>
    </row>
    <row r="4" spans="1:4" x14ac:dyDescent="0.25">
      <c r="A4" t="s">
        <v>5</v>
      </c>
      <c r="B4" s="4"/>
    </row>
    <row r="5" spans="1:4" x14ac:dyDescent="0.25">
      <c r="A5" t="s">
        <v>10</v>
      </c>
      <c r="B5" s="4"/>
    </row>
    <row r="6" spans="1:4" x14ac:dyDescent="0.25">
      <c r="A6" t="s">
        <v>11</v>
      </c>
      <c r="B6" s="5"/>
    </row>
    <row r="8" spans="1:4" x14ac:dyDescent="0.25">
      <c r="A8" s="6" t="s">
        <v>9</v>
      </c>
    </row>
    <row r="10" spans="1:4" x14ac:dyDescent="0.25">
      <c r="A10" s="6" t="s">
        <v>6</v>
      </c>
      <c r="B10" s="7" t="s">
        <v>7</v>
      </c>
      <c r="C10" s="11" t="s">
        <v>8</v>
      </c>
      <c r="D10" s="6" t="s">
        <v>1</v>
      </c>
    </row>
    <row r="12" spans="1:4" x14ac:dyDescent="0.25">
      <c r="A12" s="9"/>
    </row>
    <row r="13" spans="1:4" x14ac:dyDescent="0.25">
      <c r="A13" s="9"/>
    </row>
    <row r="14" spans="1:4" x14ac:dyDescent="0.25">
      <c r="A14" s="9"/>
    </row>
    <row r="15" spans="1:4" x14ac:dyDescent="0.25">
      <c r="A15" s="9"/>
    </row>
    <row r="16" spans="1:4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3"/>
  <sheetViews>
    <sheetView tabSelected="1" topLeftCell="A25" workbookViewId="0">
      <selection activeCell="G54" sqref="G54"/>
    </sheetView>
  </sheetViews>
  <sheetFormatPr defaultRowHeight="15" x14ac:dyDescent="0.25"/>
  <cols>
    <col min="1" max="1" width="18.42578125" style="13" customWidth="1"/>
    <col min="2" max="2" width="41" customWidth="1"/>
    <col min="3" max="5" width="18.28515625" style="10" customWidth="1"/>
    <col min="6" max="9" width="19.28515625" style="10" customWidth="1"/>
    <col min="10" max="10" width="18.28515625" style="30" customWidth="1"/>
    <col min="11" max="11" width="45.5703125" customWidth="1"/>
    <col min="12" max="12" width="27.42578125" customWidth="1"/>
  </cols>
  <sheetData>
    <row r="1" spans="1:11" x14ac:dyDescent="0.25">
      <c r="A1" s="12" t="s">
        <v>24</v>
      </c>
    </row>
    <row r="3" spans="1:11" x14ac:dyDescent="0.25">
      <c r="A3" s="13" t="s">
        <v>4</v>
      </c>
      <c r="B3" s="2">
        <f>SUM(C21:C58)</f>
        <v>211558.05500000002</v>
      </c>
    </row>
    <row r="4" spans="1:11" x14ac:dyDescent="0.25">
      <c r="A4" s="13" t="s">
        <v>5</v>
      </c>
      <c r="B4" s="2">
        <f>Assets!B5*Assets!D5</f>
        <v>59607.43</v>
      </c>
    </row>
    <row r="5" spans="1:11" x14ac:dyDescent="0.25">
      <c r="A5" s="13" t="s">
        <v>10</v>
      </c>
      <c r="B5" s="2">
        <f>B3+B4</f>
        <v>271165.48500000004</v>
      </c>
    </row>
    <row r="6" spans="1:11" x14ac:dyDescent="0.25">
      <c r="A6" s="13" t="s">
        <v>11</v>
      </c>
      <c r="B6" s="1">
        <f>B5/'Top Sheet'!B8</f>
        <v>0.5</v>
      </c>
    </row>
    <row r="7" spans="1:11" x14ac:dyDescent="0.25">
      <c r="B7" s="1"/>
    </row>
    <row r="8" spans="1:11" x14ac:dyDescent="0.25">
      <c r="A8" s="13" t="s">
        <v>41</v>
      </c>
      <c r="B8" s="2">
        <f>102476+(33500*4)</f>
        <v>236476</v>
      </c>
    </row>
    <row r="9" spans="1:11" x14ac:dyDescent="0.25">
      <c r="A9" s="13" t="s">
        <v>42</v>
      </c>
      <c r="B9" s="2">
        <f>(B3*B10)+(B4*B10)</f>
        <v>184079.06249934001</v>
      </c>
    </row>
    <row r="10" spans="1:11" x14ac:dyDescent="0.25">
      <c r="A10" s="13" t="s">
        <v>43</v>
      </c>
      <c r="B10" s="33">
        <v>0.678844</v>
      </c>
    </row>
    <row r="12" spans="1:11" x14ac:dyDescent="0.25">
      <c r="A12" s="12" t="s">
        <v>57</v>
      </c>
      <c r="B12" s="6"/>
      <c r="C12" s="11"/>
      <c r="D12" s="11"/>
      <c r="E12" s="11"/>
      <c r="F12" s="11"/>
      <c r="G12" s="11"/>
      <c r="H12" s="11"/>
      <c r="I12" s="11"/>
      <c r="J12" s="31"/>
      <c r="K12" s="6"/>
    </row>
    <row r="13" spans="1:11" x14ac:dyDescent="0.25">
      <c r="A13" s="12"/>
      <c r="B13" s="6"/>
      <c r="C13" s="11"/>
      <c r="D13" s="11"/>
      <c r="E13" s="11"/>
      <c r="F13" s="11"/>
      <c r="G13" s="11"/>
      <c r="H13" s="11"/>
      <c r="I13" s="11"/>
      <c r="J13" s="31"/>
      <c r="K13" s="6"/>
    </row>
    <row r="14" spans="1:11" ht="30" x14ac:dyDescent="0.25">
      <c r="A14" s="12" t="s">
        <v>6</v>
      </c>
      <c r="B14" s="6" t="s">
        <v>7</v>
      </c>
      <c r="C14" s="11" t="s">
        <v>8</v>
      </c>
      <c r="D14" s="11" t="s">
        <v>51</v>
      </c>
      <c r="E14" s="11" t="s">
        <v>47</v>
      </c>
      <c r="F14" s="34" t="s">
        <v>45</v>
      </c>
      <c r="G14" s="34" t="s">
        <v>49</v>
      </c>
      <c r="H14" s="34" t="s">
        <v>48</v>
      </c>
      <c r="I14" s="34" t="s">
        <v>46</v>
      </c>
      <c r="J14" s="31" t="s">
        <v>43</v>
      </c>
      <c r="K14" s="6" t="s">
        <v>1</v>
      </c>
    </row>
    <row r="16" spans="1:11" x14ac:dyDescent="0.25">
      <c r="A16" s="9">
        <v>41417</v>
      </c>
      <c r="B16" t="s">
        <v>28</v>
      </c>
      <c r="C16" s="10">
        <v>200000</v>
      </c>
      <c r="D16" s="10">
        <v>200000</v>
      </c>
      <c r="E16" s="10">
        <v>0</v>
      </c>
      <c r="H16" s="10">
        <v>200000</v>
      </c>
      <c r="I16" s="10">
        <v>0</v>
      </c>
      <c r="K16" s="3" t="s">
        <v>30</v>
      </c>
    </row>
    <row r="17" spans="1:11" x14ac:dyDescent="0.25">
      <c r="A17" s="9">
        <v>41459</v>
      </c>
      <c r="B17" t="s">
        <v>29</v>
      </c>
      <c r="C17" s="10">
        <f>-51238/2</f>
        <v>-25619</v>
      </c>
      <c r="D17" s="10">
        <f>D16+C17</f>
        <v>174381</v>
      </c>
      <c r="E17" s="10">
        <f>25619*3</f>
        <v>76857</v>
      </c>
      <c r="H17" s="10">
        <f>D17</f>
        <v>174381</v>
      </c>
      <c r="I17" s="10">
        <f>E17</f>
        <v>76857</v>
      </c>
      <c r="J17" s="30">
        <f t="shared" ref="J17:J52" si="0">I17/H17</f>
        <v>0.44074182393724087</v>
      </c>
      <c r="K17" s="3" t="s">
        <v>36</v>
      </c>
    </row>
    <row r="18" spans="1:11" x14ac:dyDescent="0.25">
      <c r="A18" s="9">
        <v>41598</v>
      </c>
      <c r="B18" t="s">
        <v>28</v>
      </c>
      <c r="C18" s="10">
        <v>50000</v>
      </c>
      <c r="D18" s="10">
        <f t="shared" ref="D18:D49" si="1">D17+C18</f>
        <v>224381</v>
      </c>
      <c r="E18" s="10">
        <f>E17</f>
        <v>76857</v>
      </c>
      <c r="H18" s="10">
        <f t="shared" ref="H18:H26" si="2">D18</f>
        <v>224381</v>
      </c>
      <c r="I18" s="10">
        <f t="shared" ref="I18:I26" si="3">E18</f>
        <v>76857</v>
      </c>
      <c r="J18" s="30">
        <f t="shared" si="0"/>
        <v>0.3425290020099741</v>
      </c>
      <c r="K18" s="3" t="s">
        <v>31</v>
      </c>
    </row>
    <row r="19" spans="1:11" x14ac:dyDescent="0.25">
      <c r="A19" s="9">
        <v>41722</v>
      </c>
      <c r="B19" t="s">
        <v>28</v>
      </c>
      <c r="C19" s="10">
        <v>50000</v>
      </c>
      <c r="D19" s="10">
        <f t="shared" si="1"/>
        <v>274381</v>
      </c>
      <c r="E19" s="10">
        <f>E18</f>
        <v>76857</v>
      </c>
      <c r="H19" s="10">
        <f t="shared" si="2"/>
        <v>274381</v>
      </c>
      <c r="I19" s="10">
        <f t="shared" si="3"/>
        <v>76857</v>
      </c>
      <c r="J19" s="30">
        <f t="shared" si="0"/>
        <v>0.28011050327828824</v>
      </c>
      <c r="K19" s="3" t="s">
        <v>31</v>
      </c>
    </row>
    <row r="20" spans="1:11" x14ac:dyDescent="0.25">
      <c r="A20" s="9">
        <v>41908</v>
      </c>
      <c r="B20" t="s">
        <v>44</v>
      </c>
      <c r="C20" s="10">
        <v>290.31</v>
      </c>
      <c r="D20" s="10">
        <f t="shared" si="1"/>
        <v>274671.31</v>
      </c>
      <c r="E20" s="10">
        <f>D20*J19</f>
        <v>76938.318880206731</v>
      </c>
      <c r="H20" s="10">
        <f t="shared" si="2"/>
        <v>274671.31</v>
      </c>
      <c r="I20" s="10">
        <f t="shared" si="3"/>
        <v>76938.318880206731</v>
      </c>
      <c r="J20" s="30">
        <f t="shared" si="0"/>
        <v>0.28011050327828824</v>
      </c>
      <c r="K20" s="3"/>
    </row>
    <row r="21" spans="1:11" x14ac:dyDescent="0.25">
      <c r="A21" s="27">
        <v>41908</v>
      </c>
      <c r="B21" s="28" t="s">
        <v>32</v>
      </c>
      <c r="C21" s="29">
        <f>549342.61/2</f>
        <v>274671.30499999999</v>
      </c>
      <c r="D21" s="29">
        <v>274671.31</v>
      </c>
      <c r="E21" s="29">
        <f>D21*J20</f>
        <v>76938.318880206731</v>
      </c>
      <c r="F21" s="29"/>
      <c r="G21" s="29"/>
      <c r="H21" s="29">
        <f t="shared" si="2"/>
        <v>274671.31</v>
      </c>
      <c r="I21" s="29">
        <f t="shared" si="3"/>
        <v>76938.318880206731</v>
      </c>
      <c r="J21" s="38">
        <f t="shared" si="0"/>
        <v>0.28011050327828824</v>
      </c>
      <c r="K21" s="36" t="s">
        <v>33</v>
      </c>
    </row>
    <row r="22" spans="1:11" x14ac:dyDescent="0.25">
      <c r="A22" s="9">
        <v>41921</v>
      </c>
      <c r="B22" t="s">
        <v>34</v>
      </c>
      <c r="C22" s="10">
        <f>45.15/2</f>
        <v>22.574999999999999</v>
      </c>
      <c r="D22" s="10">
        <f t="shared" si="1"/>
        <v>274693.88500000001</v>
      </c>
      <c r="E22" s="10">
        <f>D22*J21</f>
        <v>76944.642374818228</v>
      </c>
      <c r="H22" s="10">
        <f t="shared" si="2"/>
        <v>274693.88500000001</v>
      </c>
      <c r="I22" s="10">
        <f t="shared" si="3"/>
        <v>76944.642374818228</v>
      </c>
      <c r="J22" s="30">
        <f t="shared" si="0"/>
        <v>0.28011050327828824</v>
      </c>
      <c r="K22" s="3"/>
    </row>
    <row r="23" spans="1:11" x14ac:dyDescent="0.25">
      <c r="A23" s="9">
        <v>41946</v>
      </c>
      <c r="B23" s="3" t="s">
        <v>29</v>
      </c>
      <c r="C23" s="10">
        <f>-67000/2</f>
        <v>-33500</v>
      </c>
      <c r="D23" s="10">
        <f t="shared" si="1"/>
        <v>241193.88500000001</v>
      </c>
      <c r="E23" s="10">
        <f>E22+(33500*3)</f>
        <v>177444.64237481821</v>
      </c>
      <c r="H23" s="10">
        <f t="shared" si="2"/>
        <v>241193.88500000001</v>
      </c>
      <c r="I23" s="10">
        <f t="shared" si="3"/>
        <v>177444.64237481821</v>
      </c>
      <c r="J23" s="30">
        <f t="shared" si="0"/>
        <v>0.73569295662208933</v>
      </c>
      <c r="K23" s="3" t="s">
        <v>35</v>
      </c>
    </row>
    <row r="24" spans="1:11" x14ac:dyDescent="0.25">
      <c r="A24" s="9">
        <v>41953</v>
      </c>
      <c r="B24" t="s">
        <v>34</v>
      </c>
      <c r="C24" s="10">
        <f>46.7/2</f>
        <v>23.35</v>
      </c>
      <c r="D24" s="10">
        <f t="shared" si="1"/>
        <v>241217.23500000002</v>
      </c>
      <c r="E24" s="10">
        <f t="shared" ref="E24:E48" si="4">D24*J23</f>
        <v>177461.82080535535</v>
      </c>
      <c r="H24" s="10">
        <f t="shared" si="2"/>
        <v>241217.23500000002</v>
      </c>
      <c r="I24" s="10">
        <f t="shared" si="3"/>
        <v>177461.82080535535</v>
      </c>
      <c r="J24" s="30">
        <f t="shared" si="0"/>
        <v>0.73569295662208944</v>
      </c>
      <c r="K24" s="3"/>
    </row>
    <row r="25" spans="1:11" x14ac:dyDescent="0.25">
      <c r="A25" s="9">
        <v>41982</v>
      </c>
      <c r="B25" t="s">
        <v>34</v>
      </c>
      <c r="C25" s="10">
        <f>38.33/2</f>
        <v>19.164999999999999</v>
      </c>
      <c r="D25" s="10">
        <f t="shared" si="1"/>
        <v>241236.40000000002</v>
      </c>
      <c r="E25" s="10">
        <f t="shared" si="4"/>
        <v>177475.92036086903</v>
      </c>
      <c r="H25" s="10">
        <f t="shared" si="2"/>
        <v>241236.40000000002</v>
      </c>
      <c r="I25" s="10">
        <f t="shared" si="3"/>
        <v>177475.92036086903</v>
      </c>
      <c r="J25" s="30">
        <f t="shared" si="0"/>
        <v>0.73569295662208944</v>
      </c>
      <c r="K25" s="3"/>
    </row>
    <row r="26" spans="1:11" x14ac:dyDescent="0.25">
      <c r="A26" s="9">
        <v>42013</v>
      </c>
      <c r="B26" t="s">
        <v>34</v>
      </c>
      <c r="C26" s="10">
        <f>40.98/2</f>
        <v>20.49</v>
      </c>
      <c r="D26" s="10">
        <f t="shared" si="1"/>
        <v>241256.89</v>
      </c>
      <c r="E26" s="10">
        <f t="shared" si="4"/>
        <v>177490.99470955023</v>
      </c>
      <c r="H26" s="10">
        <f t="shared" si="2"/>
        <v>241256.89</v>
      </c>
      <c r="I26" s="10">
        <f t="shared" si="3"/>
        <v>177490.99470955023</v>
      </c>
      <c r="J26" s="30">
        <f t="shared" si="0"/>
        <v>0.73569295662208956</v>
      </c>
      <c r="K26" s="3"/>
    </row>
    <row r="27" spans="1:11" x14ac:dyDescent="0.25">
      <c r="A27" s="21">
        <v>42023</v>
      </c>
      <c r="B27" s="22" t="s">
        <v>52</v>
      </c>
      <c r="C27" s="23">
        <f>-100000/2</f>
        <v>-50000</v>
      </c>
      <c r="D27" s="23">
        <f t="shared" si="1"/>
        <v>191256.89</v>
      </c>
      <c r="E27" s="23">
        <f t="shared" si="4"/>
        <v>140706.34687844577</v>
      </c>
      <c r="F27" s="23">
        <f>97216.97/2</f>
        <v>48608.485000000001</v>
      </c>
      <c r="G27" s="23">
        <f>F27*J26</f>
        <v>35760.920046570493</v>
      </c>
      <c r="H27" s="23">
        <f>D27+F27</f>
        <v>239865.375</v>
      </c>
      <c r="I27" s="23">
        <f>E27+G27</f>
        <v>176467.26692501624</v>
      </c>
      <c r="J27" s="32">
        <f t="shared" si="0"/>
        <v>0.73569295662208956</v>
      </c>
      <c r="K27" s="37" t="s">
        <v>59</v>
      </c>
    </row>
    <row r="28" spans="1:11" ht="45" x14ac:dyDescent="0.25">
      <c r="A28" s="9">
        <v>42044</v>
      </c>
      <c r="B28" t="s">
        <v>34</v>
      </c>
      <c r="C28" s="10">
        <f>34.95/2</f>
        <v>17.475000000000001</v>
      </c>
      <c r="D28" s="10">
        <f t="shared" si="1"/>
        <v>191274.36500000002</v>
      </c>
      <c r="E28" s="10">
        <f t="shared" si="4"/>
        <v>140719.20311286274</v>
      </c>
      <c r="F28" s="10">
        <f t="shared" ref="F28:F29" si="5">97216.97/2</f>
        <v>48608.485000000001</v>
      </c>
      <c r="G28" s="10">
        <f t="shared" ref="G28:G51" si="6">F28*J27</f>
        <v>35760.920046570493</v>
      </c>
      <c r="H28" s="26">
        <f t="shared" ref="H28:I52" si="7">D28+F28</f>
        <v>239882.85000000003</v>
      </c>
      <c r="I28" s="26">
        <f t="shared" si="7"/>
        <v>176480.12315943325</v>
      </c>
      <c r="J28" s="30">
        <f t="shared" si="0"/>
        <v>0.73569295662208956</v>
      </c>
      <c r="K28" s="3" t="s">
        <v>37</v>
      </c>
    </row>
    <row r="29" spans="1:11" x14ac:dyDescent="0.25">
      <c r="A29" s="9">
        <v>42072</v>
      </c>
      <c r="B29" t="s">
        <v>34</v>
      </c>
      <c r="C29" s="10">
        <f>29.35/2</f>
        <v>14.675000000000001</v>
      </c>
      <c r="D29" s="10">
        <f t="shared" si="1"/>
        <v>191289.04</v>
      </c>
      <c r="E29" s="10">
        <f t="shared" si="4"/>
        <v>140729.99940700116</v>
      </c>
      <c r="F29" s="10">
        <f t="shared" si="5"/>
        <v>48608.485000000001</v>
      </c>
      <c r="G29" s="10">
        <f t="shared" si="6"/>
        <v>35760.920046570493</v>
      </c>
      <c r="H29" s="26">
        <f t="shared" si="7"/>
        <v>239897.52500000002</v>
      </c>
      <c r="I29" s="26">
        <f t="shared" si="7"/>
        <v>176490.91945357167</v>
      </c>
      <c r="J29" s="30">
        <f t="shared" si="0"/>
        <v>0.73569295662208956</v>
      </c>
      <c r="K29" s="3"/>
    </row>
    <row r="30" spans="1:11" x14ac:dyDescent="0.25">
      <c r="A30" s="9">
        <v>42825</v>
      </c>
      <c r="B30" t="s">
        <v>53</v>
      </c>
      <c r="C30" s="10">
        <v>0</v>
      </c>
      <c r="D30" s="10">
        <f t="shared" si="1"/>
        <v>191289.04</v>
      </c>
      <c r="E30" s="10">
        <f t="shared" si="4"/>
        <v>140729.99940700116</v>
      </c>
      <c r="F30" s="10">
        <f>96132.12/2</f>
        <v>48066.06</v>
      </c>
      <c r="G30" s="10">
        <f t="shared" si="6"/>
        <v>35361.861794574754</v>
      </c>
      <c r="H30" s="26">
        <f t="shared" si="7"/>
        <v>239355.1</v>
      </c>
      <c r="I30" s="26">
        <f t="shared" si="7"/>
        <v>176091.8612015759</v>
      </c>
      <c r="J30" s="30">
        <f t="shared" si="0"/>
        <v>0.73569295662208956</v>
      </c>
      <c r="K30" s="3"/>
    </row>
    <row r="31" spans="1:11" x14ac:dyDescent="0.25">
      <c r="A31" s="9">
        <v>42103</v>
      </c>
      <c r="B31" t="s">
        <v>34</v>
      </c>
      <c r="C31" s="10">
        <f>32.49/2</f>
        <v>16.245000000000001</v>
      </c>
      <c r="D31" s="10">
        <f>D29+C31</f>
        <v>191305.285</v>
      </c>
      <c r="E31" s="10">
        <f t="shared" si="4"/>
        <v>140741.95073908148</v>
      </c>
      <c r="F31" s="10">
        <f t="shared" ref="F31:F42" si="8">96132.12/2</f>
        <v>48066.06</v>
      </c>
      <c r="G31" s="10">
        <f t="shared" si="6"/>
        <v>35361.861794574754</v>
      </c>
      <c r="H31" s="26">
        <f t="shared" si="7"/>
        <v>239371.345</v>
      </c>
      <c r="I31" s="26">
        <f t="shared" si="7"/>
        <v>176103.81253365625</v>
      </c>
      <c r="J31" s="30">
        <f t="shared" si="0"/>
        <v>0.73569295662208967</v>
      </c>
      <c r="K31" s="3"/>
    </row>
    <row r="32" spans="1:11" x14ac:dyDescent="0.25">
      <c r="A32" s="9">
        <v>42135</v>
      </c>
      <c r="B32" t="s">
        <v>34</v>
      </c>
      <c r="C32" s="10">
        <f>33.54/2</f>
        <v>16.77</v>
      </c>
      <c r="D32" s="10">
        <f t="shared" si="1"/>
        <v>191322.05499999999</v>
      </c>
      <c r="E32" s="10">
        <f t="shared" si="4"/>
        <v>140754.28830996406</v>
      </c>
      <c r="F32" s="10">
        <f t="shared" si="8"/>
        <v>48066.06</v>
      </c>
      <c r="G32" s="10">
        <f t="shared" si="6"/>
        <v>35361.861794574761</v>
      </c>
      <c r="H32" s="26">
        <f t="shared" si="7"/>
        <v>239388.11499999999</v>
      </c>
      <c r="I32" s="26">
        <f t="shared" si="7"/>
        <v>176116.15010453883</v>
      </c>
      <c r="J32" s="30">
        <f t="shared" si="0"/>
        <v>0.73569295662208978</v>
      </c>
      <c r="K32" s="3"/>
    </row>
    <row r="33" spans="1:11" x14ac:dyDescent="0.25">
      <c r="A33" s="9">
        <v>42164</v>
      </c>
      <c r="B33" t="s">
        <v>34</v>
      </c>
      <c r="C33" s="10">
        <f>30.4/2</f>
        <v>15.2</v>
      </c>
      <c r="D33" s="10">
        <f t="shared" si="1"/>
        <v>191337.255</v>
      </c>
      <c r="E33" s="10">
        <f t="shared" si="4"/>
        <v>140765.47084290473</v>
      </c>
      <c r="F33" s="10">
        <f t="shared" si="8"/>
        <v>48066.06</v>
      </c>
      <c r="G33" s="10">
        <f t="shared" si="6"/>
        <v>35361.861794574761</v>
      </c>
      <c r="H33" s="26">
        <f t="shared" si="7"/>
        <v>239403.315</v>
      </c>
      <c r="I33" s="26">
        <f t="shared" si="7"/>
        <v>176127.3326374795</v>
      </c>
      <c r="J33" s="30">
        <f t="shared" si="0"/>
        <v>0.73569295662208978</v>
      </c>
      <c r="K33" s="3"/>
    </row>
    <row r="34" spans="1:11" x14ac:dyDescent="0.25">
      <c r="A34" s="9">
        <v>42194</v>
      </c>
      <c r="B34" t="s">
        <v>34</v>
      </c>
      <c r="C34" s="10">
        <f>31.45/2</f>
        <v>15.725</v>
      </c>
      <c r="D34" s="10">
        <f t="shared" si="1"/>
        <v>191352.98</v>
      </c>
      <c r="E34" s="10">
        <f t="shared" si="4"/>
        <v>140777.03961464763</v>
      </c>
      <c r="F34" s="10">
        <f t="shared" si="8"/>
        <v>48066.06</v>
      </c>
      <c r="G34" s="10">
        <f t="shared" si="6"/>
        <v>35361.861794574761</v>
      </c>
      <c r="H34" s="26">
        <f t="shared" si="7"/>
        <v>239419.04</v>
      </c>
      <c r="I34" s="26">
        <f t="shared" si="7"/>
        <v>176138.9014092224</v>
      </c>
      <c r="J34" s="30">
        <f t="shared" si="0"/>
        <v>0.73569295662208978</v>
      </c>
      <c r="K34" s="3"/>
    </row>
    <row r="35" spans="1:11" x14ac:dyDescent="0.25">
      <c r="A35" s="9">
        <v>42226</v>
      </c>
      <c r="B35" t="s">
        <v>34</v>
      </c>
      <c r="C35" s="10">
        <f>33.55/2</f>
        <v>16.774999999999999</v>
      </c>
      <c r="D35" s="10">
        <f t="shared" si="1"/>
        <v>191369.755</v>
      </c>
      <c r="E35" s="10">
        <f t="shared" si="4"/>
        <v>140789.38086399494</v>
      </c>
      <c r="F35" s="10">
        <f t="shared" si="8"/>
        <v>48066.06</v>
      </c>
      <c r="G35" s="10">
        <f t="shared" si="6"/>
        <v>35361.861794574761</v>
      </c>
      <c r="H35" s="26">
        <f t="shared" si="7"/>
        <v>239435.815</v>
      </c>
      <c r="I35" s="26">
        <f t="shared" si="7"/>
        <v>176151.24265856971</v>
      </c>
      <c r="J35" s="30">
        <f t="shared" si="0"/>
        <v>0.73569295662208978</v>
      </c>
      <c r="K35" s="3"/>
    </row>
    <row r="36" spans="1:11" x14ac:dyDescent="0.25">
      <c r="A36" s="9">
        <v>42256</v>
      </c>
      <c r="B36" t="s">
        <v>34</v>
      </c>
      <c r="C36" s="10">
        <f>31.46/2</f>
        <v>15.73</v>
      </c>
      <c r="D36" s="10">
        <f t="shared" si="1"/>
        <v>191385.48500000002</v>
      </c>
      <c r="E36" s="10">
        <f t="shared" si="4"/>
        <v>140800.95331420263</v>
      </c>
      <c r="F36" s="10">
        <f t="shared" si="8"/>
        <v>48066.06</v>
      </c>
      <c r="G36" s="10">
        <f t="shared" si="6"/>
        <v>35361.861794574761</v>
      </c>
      <c r="H36" s="26">
        <f t="shared" si="7"/>
        <v>239451.54500000001</v>
      </c>
      <c r="I36" s="26">
        <f t="shared" si="7"/>
        <v>176162.8151087774</v>
      </c>
      <c r="J36" s="30">
        <f t="shared" si="0"/>
        <v>0.73569295662208989</v>
      </c>
      <c r="K36" s="3"/>
    </row>
    <row r="37" spans="1:11" x14ac:dyDescent="0.25">
      <c r="A37" s="9">
        <v>42286</v>
      </c>
      <c r="B37" t="s">
        <v>34</v>
      </c>
      <c r="C37" s="10">
        <f>31.46/2</f>
        <v>15.73</v>
      </c>
      <c r="D37" s="10">
        <f t="shared" si="1"/>
        <v>191401.21500000003</v>
      </c>
      <c r="E37" s="10">
        <f t="shared" si="4"/>
        <v>140812.52576441033</v>
      </c>
      <c r="F37" s="10">
        <f t="shared" si="8"/>
        <v>48066.06</v>
      </c>
      <c r="G37" s="10">
        <f t="shared" si="6"/>
        <v>35361.861794574768</v>
      </c>
      <c r="H37" s="26">
        <f t="shared" si="7"/>
        <v>239467.27500000002</v>
      </c>
      <c r="I37" s="26">
        <f t="shared" si="7"/>
        <v>176174.38755898509</v>
      </c>
      <c r="J37" s="30">
        <f t="shared" si="0"/>
        <v>0.73569295662208989</v>
      </c>
      <c r="K37" s="3"/>
    </row>
    <row r="38" spans="1:11" x14ac:dyDescent="0.25">
      <c r="A38" s="9">
        <v>42317</v>
      </c>
      <c r="B38" t="s">
        <v>34</v>
      </c>
      <c r="C38" s="10">
        <f>32.51/2</f>
        <v>16.254999999999999</v>
      </c>
      <c r="D38" s="10">
        <f t="shared" si="1"/>
        <v>191417.47000000003</v>
      </c>
      <c r="E38" s="10">
        <f t="shared" si="4"/>
        <v>140824.48445342021</v>
      </c>
      <c r="F38" s="10">
        <f t="shared" si="8"/>
        <v>48066.06</v>
      </c>
      <c r="G38" s="10">
        <f t="shared" si="6"/>
        <v>35361.861794574768</v>
      </c>
      <c r="H38" s="26">
        <f t="shared" si="7"/>
        <v>239483.53000000003</v>
      </c>
      <c r="I38" s="26">
        <f t="shared" si="7"/>
        <v>176186.34624799498</v>
      </c>
      <c r="J38" s="30">
        <f t="shared" si="0"/>
        <v>0.73569295662208989</v>
      </c>
      <c r="K38" s="3"/>
    </row>
    <row r="39" spans="1:11" x14ac:dyDescent="0.25">
      <c r="A39" s="9">
        <v>42347</v>
      </c>
      <c r="B39" t="s">
        <v>34</v>
      </c>
      <c r="C39" s="10">
        <f>31.47/2</f>
        <v>15.734999999999999</v>
      </c>
      <c r="D39" s="10">
        <f t="shared" si="1"/>
        <v>191433.20500000002</v>
      </c>
      <c r="E39" s="10">
        <f t="shared" si="4"/>
        <v>140836.06058209264</v>
      </c>
      <c r="F39" s="10">
        <f t="shared" si="8"/>
        <v>48066.06</v>
      </c>
      <c r="G39" s="10">
        <f t="shared" si="6"/>
        <v>35361.861794574768</v>
      </c>
      <c r="H39" s="26">
        <f t="shared" si="7"/>
        <v>239499.26500000001</v>
      </c>
      <c r="I39" s="26">
        <f t="shared" si="7"/>
        <v>176197.92237666741</v>
      </c>
      <c r="J39" s="30">
        <f t="shared" si="0"/>
        <v>0.73569295662208989</v>
      </c>
      <c r="K39" s="3"/>
    </row>
    <row r="40" spans="1:11" x14ac:dyDescent="0.25">
      <c r="A40" s="9">
        <v>42380</v>
      </c>
      <c r="B40" t="s">
        <v>34</v>
      </c>
      <c r="C40" s="10">
        <f>34.62/2</f>
        <v>17.309999999999999</v>
      </c>
      <c r="D40" s="10">
        <f t="shared" si="1"/>
        <v>191450.51500000001</v>
      </c>
      <c r="E40" s="10">
        <f t="shared" si="4"/>
        <v>140848.79542717178</v>
      </c>
      <c r="F40" s="10">
        <f t="shared" si="8"/>
        <v>48066.06</v>
      </c>
      <c r="G40" s="10">
        <f t="shared" si="6"/>
        <v>35361.861794574768</v>
      </c>
      <c r="H40" s="26">
        <f t="shared" si="7"/>
        <v>239516.57500000001</v>
      </c>
      <c r="I40" s="26">
        <f t="shared" si="7"/>
        <v>176210.65722174654</v>
      </c>
      <c r="J40" s="30">
        <f t="shared" si="0"/>
        <v>0.73569295662208989</v>
      </c>
      <c r="K40" s="3"/>
    </row>
    <row r="41" spans="1:11" x14ac:dyDescent="0.25">
      <c r="A41" s="9">
        <v>42409</v>
      </c>
      <c r="B41" t="s">
        <v>34</v>
      </c>
      <c r="C41" s="10">
        <f>30.42/2</f>
        <v>15.21</v>
      </c>
      <c r="D41" s="10">
        <f t="shared" si="1"/>
        <v>191465.72500000001</v>
      </c>
      <c r="E41" s="10">
        <f t="shared" si="4"/>
        <v>140859.98531704201</v>
      </c>
      <c r="F41" s="10">
        <f t="shared" si="8"/>
        <v>48066.06</v>
      </c>
      <c r="G41" s="10">
        <f t="shared" si="6"/>
        <v>35361.861794574768</v>
      </c>
      <c r="H41" s="26">
        <f t="shared" si="7"/>
        <v>239531.785</v>
      </c>
      <c r="I41" s="26">
        <f t="shared" si="7"/>
        <v>176221.84711161678</v>
      </c>
      <c r="J41" s="30">
        <f t="shared" si="0"/>
        <v>0.73569295662209</v>
      </c>
      <c r="K41" s="3"/>
    </row>
    <row r="42" spans="1:11" x14ac:dyDescent="0.25">
      <c r="A42" s="9">
        <v>42438</v>
      </c>
      <c r="B42" t="s">
        <v>34</v>
      </c>
      <c r="C42" s="10">
        <f>30.42/2</f>
        <v>15.21</v>
      </c>
      <c r="D42" s="10">
        <f t="shared" si="1"/>
        <v>191480.935</v>
      </c>
      <c r="E42" s="10">
        <f t="shared" si="4"/>
        <v>140871.17520691224</v>
      </c>
      <c r="F42" s="10">
        <f t="shared" si="8"/>
        <v>48066.06</v>
      </c>
      <c r="G42" s="10">
        <f t="shared" si="6"/>
        <v>35361.861794574776</v>
      </c>
      <c r="H42" s="26">
        <f t="shared" si="7"/>
        <v>239546.995</v>
      </c>
      <c r="I42" s="26">
        <f t="shared" si="7"/>
        <v>176233.03700148701</v>
      </c>
      <c r="J42" s="30">
        <f t="shared" si="0"/>
        <v>0.73569295662209</v>
      </c>
      <c r="K42" s="3"/>
    </row>
    <row r="43" spans="1:11" x14ac:dyDescent="0.25">
      <c r="A43" s="9">
        <v>42460</v>
      </c>
      <c r="B43" t="s">
        <v>54</v>
      </c>
      <c r="C43" s="10">
        <v>0</v>
      </c>
      <c r="D43" s="10">
        <f>D42</f>
        <v>191480.935</v>
      </c>
      <c r="E43" s="10">
        <f t="shared" si="4"/>
        <v>140871.17520691224</v>
      </c>
      <c r="F43" s="10">
        <f>94531.25/2</f>
        <v>47265.625</v>
      </c>
      <c r="G43" s="10">
        <f t="shared" si="6"/>
        <v>34772.987402840976</v>
      </c>
      <c r="H43" s="26">
        <f t="shared" si="7"/>
        <v>238746.56</v>
      </c>
      <c r="I43" s="26">
        <f t="shared" si="7"/>
        <v>175644.16260975323</v>
      </c>
      <c r="J43" s="30">
        <f t="shared" si="0"/>
        <v>0.73569295662209011</v>
      </c>
      <c r="K43" s="3"/>
    </row>
    <row r="44" spans="1:11" x14ac:dyDescent="0.25">
      <c r="A44" s="9">
        <v>42471</v>
      </c>
      <c r="B44" t="s">
        <v>34</v>
      </c>
      <c r="C44" s="10">
        <f>34.62/2</f>
        <v>17.309999999999999</v>
      </c>
      <c r="D44" s="10">
        <f>D42+C44</f>
        <v>191498.245</v>
      </c>
      <c r="E44" s="10">
        <f t="shared" si="4"/>
        <v>140883.91005199138</v>
      </c>
      <c r="F44" s="10">
        <f t="shared" ref="F44:F50" si="9">94531.25/2</f>
        <v>47265.625</v>
      </c>
      <c r="G44" s="10">
        <f t="shared" si="6"/>
        <v>34772.987402840976</v>
      </c>
      <c r="H44" s="26">
        <f t="shared" si="7"/>
        <v>238763.87</v>
      </c>
      <c r="I44" s="26">
        <f t="shared" si="7"/>
        <v>175656.89745483236</v>
      </c>
      <c r="J44" s="30">
        <f t="shared" si="0"/>
        <v>0.73569295662209011</v>
      </c>
      <c r="K44" s="4"/>
    </row>
    <row r="45" spans="1:11" x14ac:dyDescent="0.25">
      <c r="A45" s="9">
        <v>42499</v>
      </c>
      <c r="B45" t="s">
        <v>34</v>
      </c>
      <c r="C45" s="10">
        <f>29.38/2</f>
        <v>14.69</v>
      </c>
      <c r="D45" s="10">
        <f t="shared" si="1"/>
        <v>191512.935</v>
      </c>
      <c r="E45" s="10">
        <f t="shared" si="4"/>
        <v>140894.71738152415</v>
      </c>
      <c r="F45" s="10">
        <f t="shared" si="9"/>
        <v>47265.625</v>
      </c>
      <c r="G45" s="10">
        <f t="shared" si="6"/>
        <v>34772.987402840976</v>
      </c>
      <c r="H45" s="26">
        <f t="shared" si="7"/>
        <v>238778.56</v>
      </c>
      <c r="I45" s="26">
        <f t="shared" si="7"/>
        <v>175667.70478436514</v>
      </c>
      <c r="J45" s="30">
        <f t="shared" si="0"/>
        <v>0.73569295662209011</v>
      </c>
      <c r="K45" s="3"/>
    </row>
    <row r="46" spans="1:11" x14ac:dyDescent="0.25">
      <c r="A46" s="9">
        <v>42530</v>
      </c>
      <c r="B46" t="s">
        <v>34</v>
      </c>
      <c r="C46" s="10">
        <f>32.53/2</f>
        <v>16.265000000000001</v>
      </c>
      <c r="D46" s="10">
        <f t="shared" si="1"/>
        <v>191529.2</v>
      </c>
      <c r="E46" s="10">
        <f t="shared" si="4"/>
        <v>140906.68342746363</v>
      </c>
      <c r="F46" s="10">
        <f t="shared" si="9"/>
        <v>47265.625</v>
      </c>
      <c r="G46" s="10">
        <f t="shared" si="6"/>
        <v>34772.987402840976</v>
      </c>
      <c r="H46" s="26">
        <f t="shared" si="7"/>
        <v>238794.82500000001</v>
      </c>
      <c r="I46" s="26">
        <f t="shared" si="7"/>
        <v>175679.67083030462</v>
      </c>
      <c r="J46" s="30">
        <f t="shared" si="0"/>
        <v>0.73569295662209011</v>
      </c>
      <c r="K46" s="3"/>
    </row>
    <row r="47" spans="1:11" x14ac:dyDescent="0.25">
      <c r="A47" s="9">
        <v>42562</v>
      </c>
      <c r="B47" t="s">
        <v>34</v>
      </c>
      <c r="C47" s="10">
        <f>33.58/2</f>
        <v>16.79</v>
      </c>
      <c r="D47" s="10">
        <f t="shared" si="1"/>
        <v>191545.99000000002</v>
      </c>
      <c r="E47" s="10">
        <f t="shared" si="4"/>
        <v>140919.03571220531</v>
      </c>
      <c r="F47" s="10">
        <f t="shared" si="9"/>
        <v>47265.625</v>
      </c>
      <c r="G47" s="10">
        <f t="shared" si="6"/>
        <v>34772.987402840976</v>
      </c>
      <c r="H47" s="26">
        <f t="shared" si="7"/>
        <v>238811.61500000002</v>
      </c>
      <c r="I47" s="26">
        <f t="shared" si="7"/>
        <v>175692.02311504629</v>
      </c>
      <c r="J47" s="30">
        <f t="shared" si="0"/>
        <v>0.73569295662209011</v>
      </c>
      <c r="K47" s="3"/>
    </row>
    <row r="48" spans="1:11" ht="45" x14ac:dyDescent="0.25">
      <c r="A48" s="21">
        <v>42591</v>
      </c>
      <c r="B48" s="22" t="s">
        <v>34</v>
      </c>
      <c r="C48" s="23">
        <f>24.14/2</f>
        <v>12.07</v>
      </c>
      <c r="D48" s="23">
        <f t="shared" si="1"/>
        <v>191558.06000000003</v>
      </c>
      <c r="E48" s="23">
        <f t="shared" si="4"/>
        <v>140927.91552619176</v>
      </c>
      <c r="F48" s="23">
        <f t="shared" si="9"/>
        <v>47265.625</v>
      </c>
      <c r="G48" s="23">
        <f t="shared" si="6"/>
        <v>34772.987402840976</v>
      </c>
      <c r="H48" s="23">
        <f t="shared" si="7"/>
        <v>238823.68500000003</v>
      </c>
      <c r="I48" s="23">
        <f t="shared" si="7"/>
        <v>175700.90292903275</v>
      </c>
      <c r="J48" s="32">
        <f t="shared" si="0"/>
        <v>0.73569295662209011</v>
      </c>
      <c r="K48" s="37" t="s">
        <v>38</v>
      </c>
    </row>
    <row r="49" spans="1:11" x14ac:dyDescent="0.25">
      <c r="A49" s="21">
        <v>42814</v>
      </c>
      <c r="B49" s="22" t="s">
        <v>39</v>
      </c>
      <c r="C49" s="23">
        <f>40000/2</f>
        <v>20000</v>
      </c>
      <c r="D49" s="23">
        <f t="shared" si="1"/>
        <v>211558.06000000003</v>
      </c>
      <c r="E49" s="23">
        <f>E48</f>
        <v>140927.91552619176</v>
      </c>
      <c r="F49" s="23">
        <f t="shared" si="9"/>
        <v>47265.625</v>
      </c>
      <c r="G49" s="23">
        <f t="shared" si="6"/>
        <v>34772.987402840976</v>
      </c>
      <c r="H49" s="23">
        <f t="shared" si="7"/>
        <v>258823.68500000003</v>
      </c>
      <c r="I49" s="23">
        <f t="shared" si="7"/>
        <v>175700.90292903275</v>
      </c>
      <c r="J49" s="32">
        <f t="shared" si="0"/>
        <v>0.67884398960254633</v>
      </c>
      <c r="K49" s="37" t="s">
        <v>40</v>
      </c>
    </row>
    <row r="50" spans="1:11" ht="30" x14ac:dyDescent="0.25">
      <c r="A50" s="21">
        <v>42814</v>
      </c>
      <c r="B50" s="22" t="s">
        <v>61</v>
      </c>
      <c r="C50" s="23">
        <v>0</v>
      </c>
      <c r="D50" s="23">
        <f>D49</f>
        <v>211558.06000000003</v>
      </c>
      <c r="E50" s="23">
        <f>D50*J49</f>
        <v>143614.91748297488</v>
      </c>
      <c r="F50" s="23">
        <f t="shared" si="9"/>
        <v>47265.625</v>
      </c>
      <c r="G50" s="23">
        <f t="shared" si="6"/>
        <v>32085.985446057854</v>
      </c>
      <c r="H50" s="23">
        <f t="shared" si="7"/>
        <v>258823.68500000003</v>
      </c>
      <c r="I50" s="23">
        <f t="shared" si="7"/>
        <v>175700.90292903275</v>
      </c>
      <c r="J50" s="32">
        <f t="shared" si="0"/>
        <v>0.67884398960254633</v>
      </c>
      <c r="K50" s="37" t="s">
        <v>65</v>
      </c>
    </row>
    <row r="51" spans="1:11" x14ac:dyDescent="0.25">
      <c r="A51" s="24">
        <v>42830</v>
      </c>
      <c r="B51" s="25" t="s">
        <v>50</v>
      </c>
      <c r="C51" s="26">
        <v>0</v>
      </c>
      <c r="D51" s="26">
        <f>D50</f>
        <v>211558.06000000003</v>
      </c>
      <c r="E51" s="26">
        <f>D51*J49</f>
        <v>143614.91748297488</v>
      </c>
      <c r="F51" s="26">
        <f>107930.72/2</f>
        <v>53965.36</v>
      </c>
      <c r="G51" s="26">
        <f t="shared" si="6"/>
        <v>36634.060282737672</v>
      </c>
      <c r="H51" s="26">
        <f t="shared" si="7"/>
        <v>265523.42000000004</v>
      </c>
      <c r="I51" s="26">
        <f t="shared" si="7"/>
        <v>180248.97776571254</v>
      </c>
      <c r="J51" s="35">
        <f t="shared" si="0"/>
        <v>0.67884398960254622</v>
      </c>
      <c r="K51" s="3"/>
    </row>
    <row r="52" spans="1:11" x14ac:dyDescent="0.25">
      <c r="A52" s="9">
        <v>43067</v>
      </c>
      <c r="B52" s="25" t="s">
        <v>66</v>
      </c>
      <c r="C52" s="10">
        <v>0</v>
      </c>
      <c r="D52" s="10">
        <f>D51</f>
        <v>211558.06000000003</v>
      </c>
      <c r="E52" s="10">
        <f>D52*J51</f>
        <v>143614.91748297488</v>
      </c>
      <c r="F52" s="10">
        <f>119214.86/2</f>
        <v>59607.43</v>
      </c>
      <c r="G52" s="26">
        <f>F52*J51</f>
        <v>40464.145591154498</v>
      </c>
      <c r="H52" s="26">
        <f t="shared" si="7"/>
        <v>271165.49000000005</v>
      </c>
      <c r="I52" s="26">
        <f t="shared" si="7"/>
        <v>184079.06307412937</v>
      </c>
      <c r="J52" s="30">
        <f t="shared" si="0"/>
        <v>0.67884398960254622</v>
      </c>
    </row>
    <row r="53" spans="1:11" x14ac:dyDescent="0.25">
      <c r="A53" s="9"/>
      <c r="G53" s="26"/>
      <c r="H53" s="26"/>
      <c r="I5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topLeftCell="A31" workbookViewId="0">
      <selection activeCell="H52" sqref="H52"/>
    </sheetView>
  </sheetViews>
  <sheetFormatPr defaultRowHeight="15" x14ac:dyDescent="0.25"/>
  <cols>
    <col min="1" max="1" width="18.140625" customWidth="1"/>
    <col min="2" max="2" width="47.42578125" customWidth="1"/>
    <col min="3" max="3" width="18.5703125" style="10" customWidth="1"/>
    <col min="4" max="4" width="18.140625" customWidth="1"/>
    <col min="5" max="5" width="15.140625" customWidth="1"/>
    <col min="6" max="6" width="16" customWidth="1"/>
    <col min="7" max="7" width="12.140625" customWidth="1"/>
    <col min="8" max="8" width="18.28515625" customWidth="1"/>
    <col min="9" max="9" width="18.42578125" customWidth="1"/>
    <col min="10" max="10" width="14.7109375" customWidth="1"/>
    <col min="11" max="11" width="54.5703125" style="3" customWidth="1"/>
  </cols>
  <sheetData>
    <row r="1" spans="1:11" x14ac:dyDescent="0.25">
      <c r="A1" s="6" t="s">
        <v>25</v>
      </c>
    </row>
    <row r="3" spans="1:11" x14ac:dyDescent="0.25">
      <c r="A3" t="s">
        <v>4</v>
      </c>
      <c r="B3" s="2">
        <f>SUM(C21:C58)</f>
        <v>211558.05500000002</v>
      </c>
    </row>
    <row r="4" spans="1:11" x14ac:dyDescent="0.25">
      <c r="A4" t="s">
        <v>5</v>
      </c>
      <c r="B4" s="2">
        <f>Assets!B5*Assets!E5</f>
        <v>59607.43</v>
      </c>
    </row>
    <row r="5" spans="1:11" x14ac:dyDescent="0.25">
      <c r="A5" t="s">
        <v>10</v>
      </c>
      <c r="B5" s="2">
        <f>B3+B4</f>
        <v>271165.48500000004</v>
      </c>
    </row>
    <row r="6" spans="1:11" x14ac:dyDescent="0.25">
      <c r="A6" t="s">
        <v>11</v>
      </c>
      <c r="B6" s="1">
        <f>B5/'Top Sheet'!B8</f>
        <v>0.5</v>
      </c>
    </row>
    <row r="7" spans="1:11" x14ac:dyDescent="0.25">
      <c r="B7" s="1"/>
    </row>
    <row r="8" spans="1:11" x14ac:dyDescent="0.25">
      <c r="A8" s="13" t="s">
        <v>41</v>
      </c>
      <c r="B8" s="2">
        <f>102476+(33500*4)</f>
        <v>236476</v>
      </c>
    </row>
    <row r="9" spans="1:11" x14ac:dyDescent="0.25">
      <c r="A9" s="13" t="s">
        <v>42</v>
      </c>
      <c r="B9" s="2">
        <f>(B3*B10)+(B4*B10)</f>
        <v>184079.06249934001</v>
      </c>
    </row>
    <row r="10" spans="1:11" x14ac:dyDescent="0.25">
      <c r="A10" s="13" t="s">
        <v>43</v>
      </c>
      <c r="B10" s="33">
        <v>0.678844</v>
      </c>
    </row>
    <row r="12" spans="1:11" x14ac:dyDescent="0.25">
      <c r="A12" s="12" t="s">
        <v>57</v>
      </c>
      <c r="B12" s="6"/>
      <c r="C12" s="11"/>
      <c r="D12" s="11"/>
      <c r="E12" s="11"/>
      <c r="F12" s="11"/>
      <c r="G12" s="11"/>
      <c r="H12" s="11"/>
      <c r="I12" s="11"/>
      <c r="J12" s="31"/>
      <c r="K12" s="7"/>
    </row>
    <row r="13" spans="1:11" x14ac:dyDescent="0.25">
      <c r="A13" s="12"/>
      <c r="B13" s="6"/>
      <c r="C13" s="11"/>
      <c r="D13" s="11"/>
      <c r="E13" s="11"/>
      <c r="F13" s="11"/>
      <c r="G13" s="11"/>
      <c r="H13" s="11"/>
      <c r="I13" s="11"/>
      <c r="J13" s="31"/>
      <c r="K13" s="7"/>
    </row>
    <row r="14" spans="1:11" ht="45" x14ac:dyDescent="0.25">
      <c r="A14" s="12" t="s">
        <v>6</v>
      </c>
      <c r="B14" s="6" t="s">
        <v>7</v>
      </c>
      <c r="C14" s="11" t="s">
        <v>60</v>
      </c>
      <c r="D14" s="11" t="s">
        <v>51</v>
      </c>
      <c r="E14" s="34" t="s">
        <v>45</v>
      </c>
      <c r="F14" s="34" t="s">
        <v>49</v>
      </c>
      <c r="G14" s="34" t="s">
        <v>48</v>
      </c>
      <c r="H14" s="11" t="s">
        <v>47</v>
      </c>
      <c r="I14" s="34" t="s">
        <v>46</v>
      </c>
      <c r="J14" s="31" t="s">
        <v>43</v>
      </c>
      <c r="K14" s="7" t="s">
        <v>1</v>
      </c>
    </row>
    <row r="15" spans="1:11" x14ac:dyDescent="0.25">
      <c r="A15" s="13"/>
      <c r="D15" s="10"/>
      <c r="E15" s="10"/>
      <c r="F15" s="10"/>
      <c r="G15" s="10"/>
      <c r="H15" s="10"/>
      <c r="I15" s="10"/>
      <c r="J15" s="30"/>
    </row>
    <row r="16" spans="1:11" x14ac:dyDescent="0.25">
      <c r="A16" s="9">
        <v>41417</v>
      </c>
      <c r="B16" t="s">
        <v>28</v>
      </c>
      <c r="C16" s="10">
        <v>200000</v>
      </c>
      <c r="D16" s="10">
        <v>200000</v>
      </c>
      <c r="E16" s="10">
        <v>0</v>
      </c>
      <c r="F16" s="10"/>
      <c r="G16" s="10"/>
      <c r="H16" s="10">
        <v>200000</v>
      </c>
      <c r="I16" s="10">
        <v>0</v>
      </c>
      <c r="J16" s="30"/>
      <c r="K16" s="3" t="s">
        <v>30</v>
      </c>
    </row>
    <row r="17" spans="1:11" x14ac:dyDescent="0.25">
      <c r="A17" s="9">
        <v>41459</v>
      </c>
      <c r="B17" t="s">
        <v>29</v>
      </c>
      <c r="C17" s="10">
        <f>-51238/2</f>
        <v>-25619</v>
      </c>
      <c r="D17" s="10">
        <f>D16+C17</f>
        <v>174381</v>
      </c>
      <c r="E17" s="10">
        <f>25619*3</f>
        <v>76857</v>
      </c>
      <c r="F17" s="10"/>
      <c r="G17" s="10"/>
      <c r="H17" s="10">
        <f>D17</f>
        <v>174381</v>
      </c>
      <c r="I17" s="10">
        <f>E17</f>
        <v>76857</v>
      </c>
      <c r="J17" s="30">
        <f t="shared" ref="J17:J52" si="0">I17/H17</f>
        <v>0.44074182393724087</v>
      </c>
      <c r="K17" s="3" t="s">
        <v>36</v>
      </c>
    </row>
    <row r="18" spans="1:11" x14ac:dyDescent="0.25">
      <c r="A18" s="9">
        <v>41598</v>
      </c>
      <c r="B18" t="s">
        <v>28</v>
      </c>
      <c r="C18" s="10">
        <v>50000</v>
      </c>
      <c r="D18" s="10">
        <f t="shared" ref="D18:D49" si="1">D17+C18</f>
        <v>224381</v>
      </c>
      <c r="E18" s="10">
        <f>E17</f>
        <v>76857</v>
      </c>
      <c r="F18" s="10"/>
      <c r="G18" s="10"/>
      <c r="H18" s="10">
        <f t="shared" ref="H18:H26" si="2">D18</f>
        <v>224381</v>
      </c>
      <c r="I18" s="10">
        <f t="shared" ref="I18:I26" si="3">E18</f>
        <v>76857</v>
      </c>
      <c r="J18" s="30">
        <f t="shared" si="0"/>
        <v>0.3425290020099741</v>
      </c>
      <c r="K18" s="3" t="s">
        <v>31</v>
      </c>
    </row>
    <row r="19" spans="1:11" x14ac:dyDescent="0.25">
      <c r="A19" s="9">
        <v>41722</v>
      </c>
      <c r="B19" t="s">
        <v>28</v>
      </c>
      <c r="C19" s="10">
        <v>50000</v>
      </c>
      <c r="D19" s="10">
        <f t="shared" si="1"/>
        <v>274381</v>
      </c>
      <c r="E19" s="10">
        <f>E18</f>
        <v>76857</v>
      </c>
      <c r="F19" s="10"/>
      <c r="G19" s="10"/>
      <c r="H19" s="10">
        <f t="shared" si="2"/>
        <v>274381</v>
      </c>
      <c r="I19" s="10">
        <f t="shared" si="3"/>
        <v>76857</v>
      </c>
      <c r="J19" s="30">
        <f t="shared" si="0"/>
        <v>0.28011050327828824</v>
      </c>
      <c r="K19" s="3" t="s">
        <v>31</v>
      </c>
    </row>
    <row r="20" spans="1:11" x14ac:dyDescent="0.25">
      <c r="A20" s="9">
        <v>41908</v>
      </c>
      <c r="B20" t="s">
        <v>44</v>
      </c>
      <c r="C20" s="10">
        <v>290.31</v>
      </c>
      <c r="D20" s="10">
        <f t="shared" si="1"/>
        <v>274671.31</v>
      </c>
      <c r="E20" s="10">
        <f>D20*J19</f>
        <v>76938.318880206731</v>
      </c>
      <c r="F20" s="10"/>
      <c r="G20" s="10"/>
      <c r="H20" s="10">
        <f t="shared" si="2"/>
        <v>274671.31</v>
      </c>
      <c r="I20" s="10">
        <f t="shared" si="3"/>
        <v>76938.318880206731</v>
      </c>
      <c r="J20" s="30">
        <f t="shared" si="0"/>
        <v>0.28011050327828824</v>
      </c>
    </row>
    <row r="21" spans="1:11" x14ac:dyDescent="0.25">
      <c r="A21" s="27">
        <v>41908</v>
      </c>
      <c r="B21" s="28" t="s">
        <v>32</v>
      </c>
      <c r="C21" s="29">
        <f>549342.61/2</f>
        <v>274671.30499999999</v>
      </c>
      <c r="D21" s="29">
        <v>274671.31</v>
      </c>
      <c r="E21" s="29">
        <f>D21*J20</f>
        <v>76938.318880206731</v>
      </c>
      <c r="F21" s="29"/>
      <c r="G21" s="29"/>
      <c r="H21" s="29">
        <f t="shared" si="2"/>
        <v>274671.31</v>
      </c>
      <c r="I21" s="29">
        <f t="shared" si="3"/>
        <v>76938.318880206731</v>
      </c>
      <c r="J21" s="38">
        <f t="shared" si="0"/>
        <v>0.28011050327828824</v>
      </c>
      <c r="K21" s="36" t="s">
        <v>33</v>
      </c>
    </row>
    <row r="22" spans="1:11" x14ac:dyDescent="0.25">
      <c r="A22" s="9">
        <v>41921</v>
      </c>
      <c r="B22" t="s">
        <v>34</v>
      </c>
      <c r="C22" s="10">
        <f>45.15/2</f>
        <v>22.574999999999999</v>
      </c>
      <c r="D22" s="10">
        <f t="shared" si="1"/>
        <v>274693.88500000001</v>
      </c>
      <c r="E22" s="10">
        <f>D22*J21</f>
        <v>76944.642374818228</v>
      </c>
      <c r="F22" s="10"/>
      <c r="G22" s="10"/>
      <c r="H22" s="10">
        <f t="shared" si="2"/>
        <v>274693.88500000001</v>
      </c>
      <c r="I22" s="10">
        <f t="shared" si="3"/>
        <v>76944.642374818228</v>
      </c>
      <c r="J22" s="30">
        <f t="shared" si="0"/>
        <v>0.28011050327828824</v>
      </c>
    </row>
    <row r="23" spans="1:11" x14ac:dyDescent="0.25">
      <c r="A23" s="9">
        <v>41946</v>
      </c>
      <c r="B23" s="3" t="s">
        <v>29</v>
      </c>
      <c r="C23" s="10">
        <f>-67000/2</f>
        <v>-33500</v>
      </c>
      <c r="D23" s="10">
        <f t="shared" si="1"/>
        <v>241193.88500000001</v>
      </c>
      <c r="E23" s="10">
        <f>E22+(33500*3)</f>
        <v>177444.64237481821</v>
      </c>
      <c r="F23" s="10"/>
      <c r="G23" s="10"/>
      <c r="H23" s="10">
        <f t="shared" si="2"/>
        <v>241193.88500000001</v>
      </c>
      <c r="I23" s="10">
        <f t="shared" si="3"/>
        <v>177444.64237481821</v>
      </c>
      <c r="J23" s="30">
        <f t="shared" si="0"/>
        <v>0.73569295662208933</v>
      </c>
      <c r="K23" s="3" t="s">
        <v>35</v>
      </c>
    </row>
    <row r="24" spans="1:11" x14ac:dyDescent="0.25">
      <c r="A24" s="9">
        <v>41953</v>
      </c>
      <c r="B24" t="s">
        <v>34</v>
      </c>
      <c r="C24" s="10">
        <f>46.7/2</f>
        <v>23.35</v>
      </c>
      <c r="D24" s="10">
        <f t="shared" si="1"/>
        <v>241217.23500000002</v>
      </c>
      <c r="E24" s="10">
        <f t="shared" ref="E24:E48" si="4">D24*J23</f>
        <v>177461.82080535535</v>
      </c>
      <c r="F24" s="10"/>
      <c r="G24" s="10"/>
      <c r="H24" s="10">
        <f t="shared" si="2"/>
        <v>241217.23500000002</v>
      </c>
      <c r="I24" s="10">
        <f t="shared" si="3"/>
        <v>177461.82080535535</v>
      </c>
      <c r="J24" s="30">
        <f t="shared" si="0"/>
        <v>0.73569295662208944</v>
      </c>
    </row>
    <row r="25" spans="1:11" x14ac:dyDescent="0.25">
      <c r="A25" s="9">
        <v>41982</v>
      </c>
      <c r="B25" t="s">
        <v>34</v>
      </c>
      <c r="C25" s="10">
        <f>38.33/2</f>
        <v>19.164999999999999</v>
      </c>
      <c r="D25" s="10">
        <f t="shared" si="1"/>
        <v>241236.40000000002</v>
      </c>
      <c r="E25" s="10">
        <f t="shared" si="4"/>
        <v>177475.92036086903</v>
      </c>
      <c r="F25" s="10"/>
      <c r="G25" s="10"/>
      <c r="H25" s="10">
        <f t="shared" si="2"/>
        <v>241236.40000000002</v>
      </c>
      <c r="I25" s="10">
        <f t="shared" si="3"/>
        <v>177475.92036086903</v>
      </c>
      <c r="J25" s="30">
        <f t="shared" si="0"/>
        <v>0.73569295662208944</v>
      </c>
    </row>
    <row r="26" spans="1:11" x14ac:dyDescent="0.25">
      <c r="A26" s="9">
        <v>42013</v>
      </c>
      <c r="B26" t="s">
        <v>34</v>
      </c>
      <c r="C26" s="10">
        <f>40.98/2</f>
        <v>20.49</v>
      </c>
      <c r="D26" s="10">
        <f t="shared" si="1"/>
        <v>241256.89</v>
      </c>
      <c r="E26" s="10">
        <f t="shared" si="4"/>
        <v>177490.99470955023</v>
      </c>
      <c r="F26" s="10"/>
      <c r="G26" s="10"/>
      <c r="H26" s="10">
        <f t="shared" si="2"/>
        <v>241256.89</v>
      </c>
      <c r="I26" s="10">
        <f t="shared" si="3"/>
        <v>177490.99470955023</v>
      </c>
      <c r="J26" s="30">
        <f t="shared" si="0"/>
        <v>0.73569295662208956</v>
      </c>
    </row>
    <row r="27" spans="1:11" x14ac:dyDescent="0.25">
      <c r="A27" s="21">
        <v>42023</v>
      </c>
      <c r="B27" s="22" t="s">
        <v>52</v>
      </c>
      <c r="C27" s="23">
        <f>-100000/2</f>
        <v>-50000</v>
      </c>
      <c r="D27" s="23">
        <f t="shared" si="1"/>
        <v>191256.89</v>
      </c>
      <c r="E27" s="23">
        <f t="shared" si="4"/>
        <v>140706.34687844577</v>
      </c>
      <c r="F27" s="23">
        <f>97216.97/2</f>
        <v>48608.485000000001</v>
      </c>
      <c r="G27" s="23">
        <f>F27*J26</f>
        <v>35760.920046570493</v>
      </c>
      <c r="H27" s="23">
        <f>D27+F27</f>
        <v>239865.375</v>
      </c>
      <c r="I27" s="23">
        <f>E27+G27</f>
        <v>176467.26692501624</v>
      </c>
      <c r="J27" s="32">
        <f t="shared" si="0"/>
        <v>0.73569295662208956</v>
      </c>
      <c r="K27" s="37" t="s">
        <v>59</v>
      </c>
    </row>
    <row r="28" spans="1:11" ht="30" x14ac:dyDescent="0.25">
      <c r="A28" s="9">
        <v>42044</v>
      </c>
      <c r="B28" t="s">
        <v>34</v>
      </c>
      <c r="C28" s="10">
        <f>34.95/2</f>
        <v>17.475000000000001</v>
      </c>
      <c r="D28" s="10">
        <f t="shared" si="1"/>
        <v>191274.36500000002</v>
      </c>
      <c r="E28" s="10">
        <f t="shared" si="4"/>
        <v>140719.20311286274</v>
      </c>
      <c r="F28" s="10">
        <f t="shared" ref="F28:F29" si="5">97216.97/2</f>
        <v>48608.485000000001</v>
      </c>
      <c r="G28" s="10">
        <f t="shared" ref="G28:G51" si="6">F28*J27</f>
        <v>35760.920046570493</v>
      </c>
      <c r="H28" s="26">
        <f t="shared" ref="H28:I52" si="7">D28+F28</f>
        <v>239882.85000000003</v>
      </c>
      <c r="I28" s="26">
        <f t="shared" ref="I28:I51" si="8">E28+G28</f>
        <v>176480.12315943325</v>
      </c>
      <c r="J28" s="30">
        <f t="shared" si="0"/>
        <v>0.73569295662208956</v>
      </c>
      <c r="K28" s="3" t="s">
        <v>37</v>
      </c>
    </row>
    <row r="29" spans="1:11" x14ac:dyDescent="0.25">
      <c r="A29" s="9">
        <v>42072</v>
      </c>
      <c r="B29" t="s">
        <v>34</v>
      </c>
      <c r="C29" s="10">
        <f>29.35/2</f>
        <v>14.675000000000001</v>
      </c>
      <c r="D29" s="10">
        <f t="shared" si="1"/>
        <v>191289.04</v>
      </c>
      <c r="E29" s="10">
        <f t="shared" si="4"/>
        <v>140729.99940700116</v>
      </c>
      <c r="F29" s="10">
        <f t="shared" si="5"/>
        <v>48608.485000000001</v>
      </c>
      <c r="G29" s="10">
        <f t="shared" si="6"/>
        <v>35760.920046570493</v>
      </c>
      <c r="H29" s="26">
        <f t="shared" si="7"/>
        <v>239897.52500000002</v>
      </c>
      <c r="I29" s="26">
        <f t="shared" si="8"/>
        <v>176490.91945357167</v>
      </c>
      <c r="J29" s="30">
        <f t="shared" si="0"/>
        <v>0.73569295662208956</v>
      </c>
    </row>
    <row r="30" spans="1:11" x14ac:dyDescent="0.25">
      <c r="A30" s="9">
        <v>42825</v>
      </c>
      <c r="B30" t="s">
        <v>53</v>
      </c>
      <c r="C30" s="10">
        <v>0</v>
      </c>
      <c r="D30" s="10">
        <f t="shared" si="1"/>
        <v>191289.04</v>
      </c>
      <c r="E30" s="10">
        <f t="shared" si="4"/>
        <v>140729.99940700116</v>
      </c>
      <c r="F30" s="10">
        <f>96132.12/2</f>
        <v>48066.06</v>
      </c>
      <c r="G30" s="10">
        <f t="shared" si="6"/>
        <v>35361.861794574754</v>
      </c>
      <c r="H30" s="26">
        <f t="shared" si="7"/>
        <v>239355.1</v>
      </c>
      <c r="I30" s="26">
        <f t="shared" si="8"/>
        <v>176091.8612015759</v>
      </c>
      <c r="J30" s="30">
        <f t="shared" si="0"/>
        <v>0.73569295662208956</v>
      </c>
    </row>
    <row r="31" spans="1:11" x14ac:dyDescent="0.25">
      <c r="A31" s="9">
        <v>42103</v>
      </c>
      <c r="B31" t="s">
        <v>34</v>
      </c>
      <c r="C31" s="10">
        <f>32.49/2</f>
        <v>16.245000000000001</v>
      </c>
      <c r="D31" s="10">
        <f>D29+C31</f>
        <v>191305.285</v>
      </c>
      <c r="E31" s="10">
        <f t="shared" si="4"/>
        <v>140741.95073908148</v>
      </c>
      <c r="F31" s="10">
        <f t="shared" ref="F31:F42" si="9">96132.12/2</f>
        <v>48066.06</v>
      </c>
      <c r="G31" s="10">
        <f t="shared" si="6"/>
        <v>35361.861794574754</v>
      </c>
      <c r="H31" s="26">
        <f t="shared" si="7"/>
        <v>239371.345</v>
      </c>
      <c r="I31" s="26">
        <f t="shared" si="8"/>
        <v>176103.81253365625</v>
      </c>
      <c r="J31" s="30">
        <f t="shared" si="0"/>
        <v>0.73569295662208967</v>
      </c>
    </row>
    <row r="32" spans="1:11" x14ac:dyDescent="0.25">
      <c r="A32" s="9">
        <v>42135</v>
      </c>
      <c r="B32" t="s">
        <v>34</v>
      </c>
      <c r="C32" s="10">
        <f>33.54/2</f>
        <v>16.77</v>
      </c>
      <c r="D32" s="10">
        <f t="shared" si="1"/>
        <v>191322.05499999999</v>
      </c>
      <c r="E32" s="10">
        <f t="shared" si="4"/>
        <v>140754.28830996406</v>
      </c>
      <c r="F32" s="10">
        <f t="shared" si="9"/>
        <v>48066.06</v>
      </c>
      <c r="G32" s="10">
        <f t="shared" si="6"/>
        <v>35361.861794574761</v>
      </c>
      <c r="H32" s="26">
        <f t="shared" si="7"/>
        <v>239388.11499999999</v>
      </c>
      <c r="I32" s="26">
        <f t="shared" si="8"/>
        <v>176116.15010453883</v>
      </c>
      <c r="J32" s="30">
        <f t="shared" si="0"/>
        <v>0.73569295662208978</v>
      </c>
    </row>
    <row r="33" spans="1:11" x14ac:dyDescent="0.25">
      <c r="A33" s="9">
        <v>42164</v>
      </c>
      <c r="B33" t="s">
        <v>34</v>
      </c>
      <c r="C33" s="10">
        <f>30.4/2</f>
        <v>15.2</v>
      </c>
      <c r="D33" s="10">
        <f t="shared" si="1"/>
        <v>191337.255</v>
      </c>
      <c r="E33" s="10">
        <f t="shared" si="4"/>
        <v>140765.47084290473</v>
      </c>
      <c r="F33" s="10">
        <f t="shared" si="9"/>
        <v>48066.06</v>
      </c>
      <c r="G33" s="10">
        <f t="shared" si="6"/>
        <v>35361.861794574761</v>
      </c>
      <c r="H33" s="26">
        <f t="shared" si="7"/>
        <v>239403.315</v>
      </c>
      <c r="I33" s="26">
        <f t="shared" si="8"/>
        <v>176127.3326374795</v>
      </c>
      <c r="J33" s="30">
        <f t="shared" si="0"/>
        <v>0.73569295662208978</v>
      </c>
    </row>
    <row r="34" spans="1:11" x14ac:dyDescent="0.25">
      <c r="A34" s="9">
        <v>42194</v>
      </c>
      <c r="B34" t="s">
        <v>34</v>
      </c>
      <c r="C34" s="10">
        <f>31.45/2</f>
        <v>15.725</v>
      </c>
      <c r="D34" s="10">
        <f t="shared" si="1"/>
        <v>191352.98</v>
      </c>
      <c r="E34" s="10">
        <f t="shared" si="4"/>
        <v>140777.03961464763</v>
      </c>
      <c r="F34" s="10">
        <f t="shared" si="9"/>
        <v>48066.06</v>
      </c>
      <c r="G34" s="10">
        <f t="shared" si="6"/>
        <v>35361.861794574761</v>
      </c>
      <c r="H34" s="26">
        <f t="shared" si="7"/>
        <v>239419.04</v>
      </c>
      <c r="I34" s="26">
        <f t="shared" si="8"/>
        <v>176138.9014092224</v>
      </c>
      <c r="J34" s="30">
        <f t="shared" si="0"/>
        <v>0.73569295662208978</v>
      </c>
    </row>
    <row r="35" spans="1:11" x14ac:dyDescent="0.25">
      <c r="A35" s="9">
        <v>42226</v>
      </c>
      <c r="B35" t="s">
        <v>34</v>
      </c>
      <c r="C35" s="10">
        <f>33.55/2</f>
        <v>16.774999999999999</v>
      </c>
      <c r="D35" s="10">
        <f t="shared" si="1"/>
        <v>191369.755</v>
      </c>
      <c r="E35" s="10">
        <f t="shared" si="4"/>
        <v>140789.38086399494</v>
      </c>
      <c r="F35" s="10">
        <f t="shared" si="9"/>
        <v>48066.06</v>
      </c>
      <c r="G35" s="10">
        <f t="shared" si="6"/>
        <v>35361.861794574761</v>
      </c>
      <c r="H35" s="26">
        <f t="shared" si="7"/>
        <v>239435.815</v>
      </c>
      <c r="I35" s="26">
        <f t="shared" si="8"/>
        <v>176151.24265856971</v>
      </c>
      <c r="J35" s="30">
        <f t="shared" si="0"/>
        <v>0.73569295662208978</v>
      </c>
    </row>
    <row r="36" spans="1:11" x14ac:dyDescent="0.25">
      <c r="A36" s="9">
        <v>42256</v>
      </c>
      <c r="B36" t="s">
        <v>34</v>
      </c>
      <c r="C36" s="10">
        <f>31.46/2</f>
        <v>15.73</v>
      </c>
      <c r="D36" s="10">
        <f t="shared" si="1"/>
        <v>191385.48500000002</v>
      </c>
      <c r="E36" s="10">
        <f t="shared" si="4"/>
        <v>140800.95331420263</v>
      </c>
      <c r="F36" s="10">
        <f t="shared" si="9"/>
        <v>48066.06</v>
      </c>
      <c r="G36" s="10">
        <f t="shared" si="6"/>
        <v>35361.861794574761</v>
      </c>
      <c r="H36" s="26">
        <f t="shared" si="7"/>
        <v>239451.54500000001</v>
      </c>
      <c r="I36" s="26">
        <f t="shared" si="8"/>
        <v>176162.8151087774</v>
      </c>
      <c r="J36" s="30">
        <f t="shared" si="0"/>
        <v>0.73569295662208989</v>
      </c>
    </row>
    <row r="37" spans="1:11" x14ac:dyDescent="0.25">
      <c r="A37" s="9">
        <v>42286</v>
      </c>
      <c r="B37" t="s">
        <v>34</v>
      </c>
      <c r="C37" s="10">
        <f>31.46/2</f>
        <v>15.73</v>
      </c>
      <c r="D37" s="10">
        <f t="shared" si="1"/>
        <v>191401.21500000003</v>
      </c>
      <c r="E37" s="10">
        <f t="shared" si="4"/>
        <v>140812.52576441033</v>
      </c>
      <c r="F37" s="10">
        <f t="shared" si="9"/>
        <v>48066.06</v>
      </c>
      <c r="G37" s="10">
        <f t="shared" si="6"/>
        <v>35361.861794574768</v>
      </c>
      <c r="H37" s="26">
        <f t="shared" si="7"/>
        <v>239467.27500000002</v>
      </c>
      <c r="I37" s="26">
        <f t="shared" si="8"/>
        <v>176174.38755898509</v>
      </c>
      <c r="J37" s="30">
        <f t="shared" si="0"/>
        <v>0.73569295662208989</v>
      </c>
    </row>
    <row r="38" spans="1:11" x14ac:dyDescent="0.25">
      <c r="A38" s="9">
        <v>42317</v>
      </c>
      <c r="B38" t="s">
        <v>34</v>
      </c>
      <c r="C38" s="10">
        <f>32.51/2</f>
        <v>16.254999999999999</v>
      </c>
      <c r="D38" s="10">
        <f t="shared" si="1"/>
        <v>191417.47000000003</v>
      </c>
      <c r="E38" s="10">
        <f t="shared" si="4"/>
        <v>140824.48445342021</v>
      </c>
      <c r="F38" s="10">
        <f t="shared" si="9"/>
        <v>48066.06</v>
      </c>
      <c r="G38" s="10">
        <f t="shared" si="6"/>
        <v>35361.861794574768</v>
      </c>
      <c r="H38" s="26">
        <f t="shared" si="7"/>
        <v>239483.53000000003</v>
      </c>
      <c r="I38" s="26">
        <f t="shared" si="8"/>
        <v>176186.34624799498</v>
      </c>
      <c r="J38" s="30">
        <f t="shared" si="0"/>
        <v>0.73569295662208989</v>
      </c>
    </row>
    <row r="39" spans="1:11" x14ac:dyDescent="0.25">
      <c r="A39" s="9">
        <v>42347</v>
      </c>
      <c r="B39" t="s">
        <v>34</v>
      </c>
      <c r="C39" s="10">
        <f>31.47/2</f>
        <v>15.734999999999999</v>
      </c>
      <c r="D39" s="10">
        <f t="shared" si="1"/>
        <v>191433.20500000002</v>
      </c>
      <c r="E39" s="10">
        <f t="shared" si="4"/>
        <v>140836.06058209264</v>
      </c>
      <c r="F39" s="10">
        <f t="shared" si="9"/>
        <v>48066.06</v>
      </c>
      <c r="G39" s="10">
        <f t="shared" si="6"/>
        <v>35361.861794574768</v>
      </c>
      <c r="H39" s="26">
        <f t="shared" si="7"/>
        <v>239499.26500000001</v>
      </c>
      <c r="I39" s="26">
        <f t="shared" si="8"/>
        <v>176197.92237666741</v>
      </c>
      <c r="J39" s="30">
        <f t="shared" si="0"/>
        <v>0.73569295662208989</v>
      </c>
    </row>
    <row r="40" spans="1:11" x14ac:dyDescent="0.25">
      <c r="A40" s="9">
        <v>42380</v>
      </c>
      <c r="B40" t="s">
        <v>34</v>
      </c>
      <c r="C40" s="10">
        <f>34.62/2</f>
        <v>17.309999999999999</v>
      </c>
      <c r="D40" s="10">
        <f t="shared" si="1"/>
        <v>191450.51500000001</v>
      </c>
      <c r="E40" s="10">
        <f t="shared" si="4"/>
        <v>140848.79542717178</v>
      </c>
      <c r="F40" s="10">
        <f t="shared" si="9"/>
        <v>48066.06</v>
      </c>
      <c r="G40" s="10">
        <f t="shared" si="6"/>
        <v>35361.861794574768</v>
      </c>
      <c r="H40" s="26">
        <f t="shared" si="7"/>
        <v>239516.57500000001</v>
      </c>
      <c r="I40" s="26">
        <f t="shared" si="8"/>
        <v>176210.65722174654</v>
      </c>
      <c r="J40" s="30">
        <f t="shared" si="0"/>
        <v>0.73569295662208989</v>
      </c>
    </row>
    <row r="41" spans="1:11" x14ac:dyDescent="0.25">
      <c r="A41" s="9">
        <v>42409</v>
      </c>
      <c r="B41" t="s">
        <v>34</v>
      </c>
      <c r="C41" s="10">
        <f>30.42/2</f>
        <v>15.21</v>
      </c>
      <c r="D41" s="10">
        <f t="shared" si="1"/>
        <v>191465.72500000001</v>
      </c>
      <c r="E41" s="10">
        <f t="shared" si="4"/>
        <v>140859.98531704201</v>
      </c>
      <c r="F41" s="10">
        <f t="shared" si="9"/>
        <v>48066.06</v>
      </c>
      <c r="G41" s="10">
        <f t="shared" si="6"/>
        <v>35361.861794574768</v>
      </c>
      <c r="H41" s="26">
        <f t="shared" si="7"/>
        <v>239531.785</v>
      </c>
      <c r="I41" s="26">
        <f t="shared" si="8"/>
        <v>176221.84711161678</v>
      </c>
      <c r="J41" s="30">
        <f t="shared" si="0"/>
        <v>0.73569295662209</v>
      </c>
    </row>
    <row r="42" spans="1:11" x14ac:dyDescent="0.25">
      <c r="A42" s="9">
        <v>42438</v>
      </c>
      <c r="B42" t="s">
        <v>34</v>
      </c>
      <c r="C42" s="10">
        <f>30.42/2</f>
        <v>15.21</v>
      </c>
      <c r="D42" s="10">
        <f t="shared" si="1"/>
        <v>191480.935</v>
      </c>
      <c r="E42" s="10">
        <f t="shared" si="4"/>
        <v>140871.17520691224</v>
      </c>
      <c r="F42" s="10">
        <f t="shared" si="9"/>
        <v>48066.06</v>
      </c>
      <c r="G42" s="10">
        <f t="shared" si="6"/>
        <v>35361.861794574776</v>
      </c>
      <c r="H42" s="26">
        <f t="shared" si="7"/>
        <v>239546.995</v>
      </c>
      <c r="I42" s="26">
        <f t="shared" si="8"/>
        <v>176233.03700148701</v>
      </c>
      <c r="J42" s="30">
        <f t="shared" si="0"/>
        <v>0.73569295662209</v>
      </c>
    </row>
    <row r="43" spans="1:11" x14ac:dyDescent="0.25">
      <c r="A43" s="9">
        <v>42460</v>
      </c>
      <c r="B43" t="s">
        <v>54</v>
      </c>
      <c r="C43" s="10">
        <v>0</v>
      </c>
      <c r="D43" s="10">
        <f>D42</f>
        <v>191480.935</v>
      </c>
      <c r="E43" s="10">
        <f t="shared" si="4"/>
        <v>140871.17520691224</v>
      </c>
      <c r="F43" s="10">
        <f>94531.25/2</f>
        <v>47265.625</v>
      </c>
      <c r="G43" s="10">
        <f t="shared" si="6"/>
        <v>34772.987402840976</v>
      </c>
      <c r="H43" s="26">
        <f t="shared" si="7"/>
        <v>238746.56</v>
      </c>
      <c r="I43" s="26">
        <f t="shared" si="8"/>
        <v>175644.16260975323</v>
      </c>
      <c r="J43" s="30">
        <f t="shared" si="0"/>
        <v>0.73569295662209011</v>
      </c>
    </row>
    <row r="44" spans="1:11" x14ac:dyDescent="0.25">
      <c r="A44" s="9">
        <v>42471</v>
      </c>
      <c r="B44" t="s">
        <v>34</v>
      </c>
      <c r="C44" s="10">
        <f>34.62/2</f>
        <v>17.309999999999999</v>
      </c>
      <c r="D44" s="10">
        <f>D42+C44</f>
        <v>191498.245</v>
      </c>
      <c r="E44" s="10">
        <f t="shared" si="4"/>
        <v>140883.91005199138</v>
      </c>
      <c r="F44" s="10">
        <f t="shared" ref="F44:F50" si="10">94531.25/2</f>
        <v>47265.625</v>
      </c>
      <c r="G44" s="10">
        <f t="shared" si="6"/>
        <v>34772.987402840976</v>
      </c>
      <c r="H44" s="26">
        <f t="shared" si="7"/>
        <v>238763.87</v>
      </c>
      <c r="I44" s="26">
        <f t="shared" si="8"/>
        <v>175656.89745483236</v>
      </c>
      <c r="J44" s="30">
        <f t="shared" si="0"/>
        <v>0.73569295662209011</v>
      </c>
      <c r="K44" s="4"/>
    </row>
    <row r="45" spans="1:11" x14ac:dyDescent="0.25">
      <c r="A45" s="9">
        <v>42499</v>
      </c>
      <c r="B45" t="s">
        <v>34</v>
      </c>
      <c r="C45" s="10">
        <f>29.38/2</f>
        <v>14.69</v>
      </c>
      <c r="D45" s="10">
        <f t="shared" si="1"/>
        <v>191512.935</v>
      </c>
      <c r="E45" s="10">
        <f t="shared" si="4"/>
        <v>140894.71738152415</v>
      </c>
      <c r="F45" s="10">
        <f t="shared" si="10"/>
        <v>47265.625</v>
      </c>
      <c r="G45" s="10">
        <f t="shared" si="6"/>
        <v>34772.987402840976</v>
      </c>
      <c r="H45" s="26">
        <f t="shared" si="7"/>
        <v>238778.56</v>
      </c>
      <c r="I45" s="26">
        <f t="shared" si="8"/>
        <v>175667.70478436514</v>
      </c>
      <c r="J45" s="30">
        <f t="shared" si="0"/>
        <v>0.73569295662209011</v>
      </c>
    </row>
    <row r="46" spans="1:11" x14ac:dyDescent="0.25">
      <c r="A46" s="9">
        <v>42530</v>
      </c>
      <c r="B46" t="s">
        <v>34</v>
      </c>
      <c r="C46" s="10">
        <f>32.53/2</f>
        <v>16.265000000000001</v>
      </c>
      <c r="D46" s="10">
        <f t="shared" si="1"/>
        <v>191529.2</v>
      </c>
      <c r="E46" s="10">
        <f t="shared" si="4"/>
        <v>140906.68342746363</v>
      </c>
      <c r="F46" s="10">
        <f t="shared" si="10"/>
        <v>47265.625</v>
      </c>
      <c r="G46" s="10">
        <f t="shared" si="6"/>
        <v>34772.987402840976</v>
      </c>
      <c r="H46" s="26">
        <f t="shared" si="7"/>
        <v>238794.82500000001</v>
      </c>
      <c r="I46" s="26">
        <f t="shared" si="8"/>
        <v>175679.67083030462</v>
      </c>
      <c r="J46" s="30">
        <f t="shared" si="0"/>
        <v>0.73569295662209011</v>
      </c>
    </row>
    <row r="47" spans="1:11" x14ac:dyDescent="0.25">
      <c r="A47" s="9">
        <v>42562</v>
      </c>
      <c r="B47" t="s">
        <v>34</v>
      </c>
      <c r="C47" s="10">
        <f>33.58/2</f>
        <v>16.79</v>
      </c>
      <c r="D47" s="10">
        <f t="shared" si="1"/>
        <v>191545.99000000002</v>
      </c>
      <c r="E47" s="10">
        <f t="shared" si="4"/>
        <v>140919.03571220531</v>
      </c>
      <c r="F47" s="10">
        <f t="shared" si="10"/>
        <v>47265.625</v>
      </c>
      <c r="G47" s="10">
        <f t="shared" si="6"/>
        <v>34772.987402840976</v>
      </c>
      <c r="H47" s="26">
        <f t="shared" si="7"/>
        <v>238811.61500000002</v>
      </c>
      <c r="I47" s="26">
        <f t="shared" si="8"/>
        <v>175692.02311504629</v>
      </c>
      <c r="J47" s="30">
        <f t="shared" si="0"/>
        <v>0.73569295662209011</v>
      </c>
    </row>
    <row r="48" spans="1:11" ht="45" x14ac:dyDescent="0.25">
      <c r="A48" s="21">
        <v>42591</v>
      </c>
      <c r="B48" s="22" t="s">
        <v>34</v>
      </c>
      <c r="C48" s="23">
        <f>24.14/2</f>
        <v>12.07</v>
      </c>
      <c r="D48" s="23">
        <f t="shared" si="1"/>
        <v>191558.06000000003</v>
      </c>
      <c r="E48" s="23">
        <f t="shared" si="4"/>
        <v>140927.91552619176</v>
      </c>
      <c r="F48" s="23">
        <f t="shared" si="10"/>
        <v>47265.625</v>
      </c>
      <c r="G48" s="23">
        <f t="shared" si="6"/>
        <v>34772.987402840976</v>
      </c>
      <c r="H48" s="23">
        <f t="shared" si="7"/>
        <v>238823.68500000003</v>
      </c>
      <c r="I48" s="23">
        <f t="shared" si="8"/>
        <v>175700.90292903275</v>
      </c>
      <c r="J48" s="32">
        <f t="shared" si="0"/>
        <v>0.73569295662209011</v>
      </c>
      <c r="K48" s="37" t="s">
        <v>38</v>
      </c>
    </row>
    <row r="49" spans="1:11" x14ac:dyDescent="0.25">
      <c r="A49" s="21">
        <v>42814</v>
      </c>
      <c r="B49" s="22" t="s">
        <v>39</v>
      </c>
      <c r="C49" s="23">
        <f>40000/2</f>
        <v>20000</v>
      </c>
      <c r="D49" s="23">
        <f t="shared" si="1"/>
        <v>211558.06000000003</v>
      </c>
      <c r="E49" s="23">
        <f>E48</f>
        <v>140927.91552619176</v>
      </c>
      <c r="F49" s="23">
        <f t="shared" si="10"/>
        <v>47265.625</v>
      </c>
      <c r="G49" s="23">
        <f t="shared" si="6"/>
        <v>34772.987402840976</v>
      </c>
      <c r="H49" s="23">
        <f t="shared" si="7"/>
        <v>258823.68500000003</v>
      </c>
      <c r="I49" s="23">
        <f t="shared" si="8"/>
        <v>175700.90292903275</v>
      </c>
      <c r="J49" s="32">
        <f t="shared" si="0"/>
        <v>0.67884398960254633</v>
      </c>
      <c r="K49" s="37" t="s">
        <v>40</v>
      </c>
    </row>
    <row r="50" spans="1:11" ht="30" x14ac:dyDescent="0.25">
      <c r="A50" s="21">
        <v>42814</v>
      </c>
      <c r="B50" s="22" t="s">
        <v>61</v>
      </c>
      <c r="C50" s="23">
        <v>0</v>
      </c>
      <c r="D50" s="23">
        <f>D49</f>
        <v>211558.06000000003</v>
      </c>
      <c r="E50" s="23">
        <f>D50*J49</f>
        <v>143614.91748297488</v>
      </c>
      <c r="F50" s="23">
        <f t="shared" si="10"/>
        <v>47265.625</v>
      </c>
      <c r="G50" s="23">
        <f t="shared" si="6"/>
        <v>32085.985446057854</v>
      </c>
      <c r="H50" s="23">
        <f t="shared" si="7"/>
        <v>258823.68500000003</v>
      </c>
      <c r="I50" s="23">
        <f t="shared" si="8"/>
        <v>175700.90292903275</v>
      </c>
      <c r="J50" s="32">
        <f t="shared" si="0"/>
        <v>0.67884398960254633</v>
      </c>
      <c r="K50" s="37" t="s">
        <v>65</v>
      </c>
    </row>
    <row r="51" spans="1:11" x14ac:dyDescent="0.25">
      <c r="A51" s="24">
        <v>42830</v>
      </c>
      <c r="B51" s="25" t="s">
        <v>50</v>
      </c>
      <c r="C51" s="26">
        <v>0</v>
      </c>
      <c r="D51" s="26">
        <f>D49</f>
        <v>211558.06000000003</v>
      </c>
      <c r="E51" s="26">
        <f>D51*J49</f>
        <v>143614.91748297488</v>
      </c>
      <c r="F51" s="26">
        <f>107930.72/2</f>
        <v>53965.36</v>
      </c>
      <c r="G51" s="26">
        <f t="shared" si="6"/>
        <v>36634.060282737672</v>
      </c>
      <c r="H51" s="26">
        <f t="shared" si="7"/>
        <v>265523.42000000004</v>
      </c>
      <c r="I51" s="26">
        <f t="shared" si="8"/>
        <v>180248.97776571254</v>
      </c>
      <c r="J51" s="35">
        <f t="shared" si="0"/>
        <v>0.67884398960254622</v>
      </c>
    </row>
    <row r="52" spans="1:11" x14ac:dyDescent="0.25">
      <c r="A52" s="9">
        <v>43067</v>
      </c>
      <c r="B52" s="25" t="s">
        <v>66</v>
      </c>
      <c r="C52" s="10">
        <v>0</v>
      </c>
      <c r="D52" s="10">
        <f>D51</f>
        <v>211558.06000000003</v>
      </c>
      <c r="E52" s="10">
        <f>D52*J51</f>
        <v>143614.91748297488</v>
      </c>
      <c r="F52" s="10">
        <f>119214.86/2</f>
        <v>59607.43</v>
      </c>
      <c r="G52" s="26">
        <f>F52*J51</f>
        <v>40464.145591154498</v>
      </c>
      <c r="H52" s="26">
        <f t="shared" si="7"/>
        <v>271165.49000000005</v>
      </c>
      <c r="I52" s="26">
        <f t="shared" si="7"/>
        <v>184079.06307412937</v>
      </c>
      <c r="J52" s="30">
        <f t="shared" si="0"/>
        <v>0.67884398960254622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Top Sheet</vt:lpstr>
      <vt:lpstr>Notes</vt:lpstr>
      <vt:lpstr>Assets</vt:lpstr>
      <vt:lpstr>General Account</vt:lpstr>
      <vt:lpstr>John Launders</vt:lpstr>
      <vt:lpstr>Diane Launders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dcterms:created xsi:type="dcterms:W3CDTF">2017-05-17T09:28:40Z</dcterms:created>
  <dcterms:modified xsi:type="dcterms:W3CDTF">2017-11-29T14:20:07Z</dcterms:modified>
</cp:coreProperties>
</file>