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MC SSAS\Inbound\"/>
    </mc:Choice>
  </mc:AlternateContent>
  <bookViews>
    <workbookView xWindow="0" yWindow="0" windowWidth="25200" windowHeight="11985" tabRatio="688"/>
  </bookViews>
  <sheets>
    <sheet name="Pension Funds" sheetId="1" r:id="rId1"/>
    <sheet name="Receipts &amp; Payments 2016" sheetId="7" r:id="rId2"/>
    <sheet name="Receipts &amp; Payments 2015" sheetId="5" r:id="rId3"/>
    <sheet name="Contribution History" sheetId="3" r:id="rId4"/>
    <sheet name="Share costs 5-4-15" sheetId="4" r:id="rId5"/>
    <sheet name="Share value 5-4-15" sheetId="6" r:id="rId6"/>
    <sheet name="Share value 5-4-16" sheetId="8" r:id="rId7"/>
  </sheets>
  <definedNames>
    <definedName name="_xlnm.Print_Area" localSheetId="0">'Pension Funds'!$B$1:$J$91</definedName>
  </definedNames>
  <calcPr calcId="152511"/>
</workbook>
</file>

<file path=xl/calcChain.xml><?xml version="1.0" encoding="utf-8"?>
<calcChain xmlns="http://schemas.openxmlformats.org/spreadsheetml/2006/main">
  <c r="F91" i="1" l="1"/>
  <c r="F90" i="1"/>
  <c r="F89" i="1"/>
  <c r="E39" i="1" l="1"/>
  <c r="O8" i="7" l="1"/>
  <c r="J34" i="7"/>
  <c r="Q8" i="7"/>
  <c r="F90" i="7"/>
  <c r="E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 s="1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 l="1"/>
  <c r="G75" i="8"/>
  <c r="I5" i="8"/>
  <c r="J5" i="8" s="1"/>
  <c r="I7" i="8"/>
  <c r="J7" i="8" s="1"/>
  <c r="I75" i="8"/>
  <c r="E41" i="1" s="1"/>
  <c r="H75" i="8"/>
  <c r="E42" i="1" s="1"/>
  <c r="I10" i="8"/>
  <c r="J10" i="8" s="1"/>
  <c r="H16" i="8"/>
  <c r="E51" i="1" s="1"/>
  <c r="I9" i="8"/>
  <c r="J9" i="8" s="1"/>
  <c r="G16" i="8"/>
  <c r="I2" i="8"/>
  <c r="J2" i="8" s="1"/>
  <c r="I6" i="8"/>
  <c r="J6" i="8" s="1"/>
  <c r="I4" i="8"/>
  <c r="J4" i="8" s="1"/>
  <c r="I11" i="8"/>
  <c r="J11" i="8" s="1"/>
  <c r="I8" i="8"/>
  <c r="J8" i="8" s="1"/>
  <c r="I14" i="8"/>
  <c r="J14" i="8" s="1"/>
  <c r="I3" i="8"/>
  <c r="J3" i="8" s="1"/>
  <c r="I12" i="8"/>
  <c r="J12" i="8" s="1"/>
  <c r="I16" i="8" l="1"/>
  <c r="J16" i="8" s="1"/>
  <c r="F83" i="1"/>
  <c r="J83" i="1"/>
  <c r="S23" i="3" l="1"/>
  <c r="R23" i="3"/>
  <c r="S10" i="3"/>
  <c r="R10" i="3"/>
  <c r="S2" i="3"/>
  <c r="R2" i="3"/>
  <c r="P11" i="3"/>
  <c r="P3" i="3"/>
  <c r="D10" i="3"/>
  <c r="D12" i="3" s="1"/>
  <c r="C14" i="3" s="1"/>
  <c r="D2" i="3"/>
  <c r="D4" i="3" s="1"/>
  <c r="C5" i="3" s="1"/>
  <c r="D23" i="3" l="1"/>
  <c r="D16" i="7"/>
  <c r="C110" i="7" l="1"/>
  <c r="D108" i="7"/>
  <c r="D107" i="7"/>
  <c r="D106" i="7"/>
  <c r="D105" i="7"/>
  <c r="D104" i="7"/>
  <c r="D103" i="7"/>
  <c r="D102" i="7"/>
  <c r="D101" i="7"/>
  <c r="D100" i="7"/>
  <c r="D110" i="7" l="1"/>
  <c r="E48" i="1"/>
  <c r="H91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D34" i="1" s="1"/>
  <c r="H34" i="7"/>
  <c r="G34" i="7"/>
  <c r="F34" i="7"/>
  <c r="E34" i="7"/>
  <c r="D32" i="1" s="1"/>
  <c r="D34" i="7"/>
  <c r="D36" i="1" s="1"/>
  <c r="C34" i="7"/>
  <c r="H19" i="7"/>
  <c r="G19" i="7"/>
  <c r="F19" i="7"/>
  <c r="E19" i="7"/>
  <c r="D19" i="7"/>
  <c r="C19" i="7"/>
  <c r="R11" i="7"/>
  <c r="Q9" i="7"/>
  <c r="R8" i="7"/>
  <c r="R6" i="7"/>
  <c r="F82" i="1"/>
  <c r="F56" i="1"/>
  <c r="E43" i="1"/>
  <c r="E52" i="1"/>
  <c r="E62" i="1" s="1"/>
  <c r="E17" i="1"/>
  <c r="E70" i="1" s="1"/>
  <c r="E16" i="1"/>
  <c r="E36" i="1" l="1"/>
  <c r="Q7" i="7"/>
  <c r="Q10" i="7" s="1"/>
  <c r="Q13" i="7" s="1"/>
  <c r="E27" i="1"/>
  <c r="E19" i="1"/>
  <c r="L34" i="7"/>
  <c r="O9" i="7" s="1"/>
  <c r="R9" i="7" s="1"/>
  <c r="L19" i="7"/>
  <c r="O7" i="7" s="1"/>
  <c r="D70" i="1"/>
  <c r="F70" i="1" s="1"/>
  <c r="E28" i="1" l="1"/>
  <c r="F30" i="1"/>
  <c r="D75" i="1"/>
  <c r="F75" i="1" s="1"/>
  <c r="F85" i="1" s="1"/>
  <c r="L88" i="7"/>
  <c r="O10" i="7"/>
  <c r="O13" i="7" s="1"/>
  <c r="R7" i="7"/>
  <c r="R10" i="7" s="1"/>
  <c r="I25" i="1"/>
  <c r="AD85" i="1" l="1"/>
  <c r="AD84" i="1"/>
  <c r="AD83" i="1"/>
  <c r="AD82" i="1"/>
  <c r="AD86" i="1" s="1"/>
  <c r="Z85" i="1"/>
  <c r="Z84" i="1"/>
  <c r="Z83" i="1"/>
  <c r="Z82" i="1"/>
  <c r="Z86" i="1" s="1"/>
  <c r="V85" i="1"/>
  <c r="V84" i="1"/>
  <c r="V83" i="1"/>
  <c r="V82" i="1"/>
  <c r="V86" i="1" s="1"/>
  <c r="R85" i="1"/>
  <c r="R84" i="1"/>
  <c r="R83" i="1"/>
  <c r="R82" i="1"/>
  <c r="R86" i="1" s="1"/>
  <c r="N85" i="1"/>
  <c r="N84" i="1"/>
  <c r="N83" i="1"/>
  <c r="N82" i="1"/>
  <c r="N86" i="1" s="1"/>
  <c r="J82" i="1"/>
  <c r="L105" i="5"/>
  <c r="K42" i="6"/>
  <c r="J42" i="6"/>
  <c r="F42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J43" i="6"/>
  <c r="J40" i="6"/>
  <c r="J38" i="6"/>
  <c r="J36" i="6"/>
  <c r="J34" i="6"/>
  <c r="J31" i="6"/>
  <c r="J27" i="6"/>
  <c r="J25" i="6"/>
  <c r="J22" i="6"/>
  <c r="J20" i="6"/>
  <c r="J18" i="6"/>
  <c r="J16" i="6"/>
  <c r="J12" i="6"/>
  <c r="J10" i="6"/>
  <c r="J6" i="6"/>
  <c r="J3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G40" i="6"/>
  <c r="F40" i="6"/>
  <c r="G38" i="6"/>
  <c r="F38" i="6"/>
  <c r="G36" i="6"/>
  <c r="F36" i="6"/>
  <c r="G34" i="6"/>
  <c r="F34" i="6"/>
  <c r="G31" i="6"/>
  <c r="F31" i="6"/>
  <c r="G27" i="6"/>
  <c r="F27" i="6"/>
  <c r="G25" i="6"/>
  <c r="F25" i="6"/>
  <c r="G22" i="6"/>
  <c r="F22" i="6"/>
  <c r="G20" i="6"/>
  <c r="F20" i="6"/>
  <c r="G18" i="6"/>
  <c r="F18" i="6"/>
  <c r="G16" i="6"/>
  <c r="F16" i="6"/>
  <c r="G12" i="6"/>
  <c r="F12" i="6"/>
  <c r="G10" i="6"/>
  <c r="F10" i="6"/>
  <c r="G6" i="6"/>
  <c r="I6" i="6" s="1"/>
  <c r="F6" i="6"/>
  <c r="G3" i="6"/>
  <c r="F3" i="6"/>
  <c r="F41" i="6" s="1"/>
  <c r="D85" i="4"/>
  <c r="I5" i="6"/>
  <c r="I4" i="6"/>
  <c r="I2" i="6"/>
  <c r="G41" i="6" l="1"/>
  <c r="G43" i="6" s="1"/>
  <c r="K43" i="6" s="1"/>
  <c r="K6" i="6"/>
  <c r="I3" i="6"/>
  <c r="K3" i="6"/>
  <c r="F43" i="6"/>
  <c r="N30" i="1"/>
  <c r="G46" i="6" l="1"/>
  <c r="F108" i="5"/>
  <c r="F91" i="7"/>
  <c r="H92" i="7" s="1"/>
  <c r="H109" i="5"/>
  <c r="H108" i="5"/>
  <c r="I51" i="1"/>
  <c r="I50" i="1"/>
  <c r="I42" i="1"/>
  <c r="I41" i="1"/>
  <c r="I43" i="1" s="1"/>
  <c r="H36" i="1"/>
  <c r="H35" i="1"/>
  <c r="H34" i="1"/>
  <c r="I34" i="5"/>
  <c r="H34" i="5"/>
  <c r="H33" i="1"/>
  <c r="H32" i="1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H105" i="5" s="1"/>
  <c r="K70" i="5"/>
  <c r="J69" i="5"/>
  <c r="J68" i="5"/>
  <c r="K67" i="5"/>
  <c r="K105" i="5" s="1"/>
  <c r="I23" i="1" s="1"/>
  <c r="J66" i="5"/>
  <c r="J65" i="5"/>
  <c r="J64" i="5"/>
  <c r="I63" i="5"/>
  <c r="I62" i="5"/>
  <c r="I61" i="5"/>
  <c r="I105" i="5" s="1"/>
  <c r="J60" i="5"/>
  <c r="J105" i="5" s="1"/>
  <c r="G59" i="5"/>
  <c r="G105" i="5" s="1"/>
  <c r="I22" i="1" s="1"/>
  <c r="I54" i="5"/>
  <c r="H54" i="5"/>
  <c r="G54" i="5"/>
  <c r="I47" i="5"/>
  <c r="F50" i="5"/>
  <c r="E48" i="5"/>
  <c r="F48" i="5"/>
  <c r="F42" i="5"/>
  <c r="E43" i="5"/>
  <c r="E46" i="5"/>
  <c r="I39" i="5"/>
  <c r="R8" i="5"/>
  <c r="Q9" i="5"/>
  <c r="R11" i="5"/>
  <c r="R6" i="5"/>
  <c r="C25" i="5"/>
  <c r="G34" i="5"/>
  <c r="F34" i="5"/>
  <c r="E34" i="5"/>
  <c r="D34" i="5"/>
  <c r="C34" i="5"/>
  <c r="H19" i="5"/>
  <c r="G19" i="5"/>
  <c r="F19" i="5"/>
  <c r="Q7" i="5" s="1"/>
  <c r="Q10" i="5" s="1"/>
  <c r="Q13" i="5" s="1"/>
  <c r="E19" i="5"/>
  <c r="D19" i="5"/>
  <c r="C19" i="5"/>
  <c r="J56" i="1" l="1"/>
  <c r="I52" i="1"/>
  <c r="I62" i="1" s="1"/>
  <c r="L34" i="5"/>
  <c r="O9" i="5" s="1"/>
  <c r="R9" i="5" s="1"/>
  <c r="L19" i="5"/>
  <c r="O7" i="5" s="1"/>
  <c r="N56" i="1"/>
  <c r="R7" i="5" l="1"/>
  <c r="R10" i="5" s="1"/>
  <c r="O10" i="5"/>
  <c r="O13" i="5" s="1"/>
  <c r="Z80" i="1" l="1"/>
  <c r="V80" i="1"/>
  <c r="R80" i="1"/>
  <c r="N80" i="1"/>
  <c r="I36" i="1"/>
  <c r="J30" i="1" s="1"/>
  <c r="E82" i="4"/>
  <c r="E85" i="4" s="1"/>
  <c r="I26" i="1" s="1"/>
  <c r="E80" i="4"/>
  <c r="C78" i="4"/>
  <c r="E5" i="4"/>
  <c r="E10" i="4"/>
  <c r="E15" i="4"/>
  <c r="E20" i="4"/>
  <c r="E25" i="4"/>
  <c r="E30" i="4"/>
  <c r="E35" i="4"/>
  <c r="E40" i="4"/>
  <c r="E45" i="4"/>
  <c r="E50" i="4"/>
  <c r="E55" i="4"/>
  <c r="E60" i="4"/>
  <c r="E65" i="4"/>
  <c r="E70" i="4"/>
  <c r="E75" i="4"/>
  <c r="I39" i="1" l="1"/>
  <c r="I48" i="1"/>
  <c r="I16" i="1" l="1"/>
  <c r="E4" i="3" l="1"/>
  <c r="C6" i="3" s="1"/>
  <c r="H75" i="1"/>
  <c r="J75" i="1" s="1"/>
  <c r="H70" i="1"/>
  <c r="I28" i="1"/>
  <c r="I17" i="1"/>
  <c r="E12" i="3" s="1"/>
  <c r="Y62" i="1"/>
  <c r="Y28" i="1"/>
  <c r="Y24" i="1"/>
  <c r="Y23" i="1"/>
  <c r="Q24" i="1"/>
  <c r="Q23" i="1"/>
  <c r="M23" i="1"/>
  <c r="M25" i="1"/>
  <c r="M28" i="1" s="1"/>
  <c r="M27" i="1"/>
  <c r="L36" i="1"/>
  <c r="E23" i="3" l="1"/>
  <c r="C15" i="3"/>
  <c r="I19" i="1"/>
  <c r="I54" i="1"/>
  <c r="I70" i="1"/>
  <c r="J70" i="1" s="1"/>
  <c r="M43" i="1"/>
  <c r="M36" i="1"/>
  <c r="L75" i="1" s="1"/>
  <c r="N75" i="1" s="1"/>
  <c r="M17" i="1"/>
  <c r="M16" i="1"/>
  <c r="Q25" i="1"/>
  <c r="P36" i="1"/>
  <c r="Q17" i="1"/>
  <c r="G10" i="3" s="1"/>
  <c r="G12" i="3" s="1"/>
  <c r="Q16" i="1"/>
  <c r="G2" i="3" s="1"/>
  <c r="P32" i="1"/>
  <c r="Q39" i="1"/>
  <c r="Q43" i="1" s="1"/>
  <c r="P70" i="1"/>
  <c r="Q28" i="1"/>
  <c r="O12" i="3"/>
  <c r="N12" i="3"/>
  <c r="M12" i="3"/>
  <c r="L12" i="3"/>
  <c r="K12" i="3"/>
  <c r="J12" i="3"/>
  <c r="I12" i="3"/>
  <c r="H12" i="3"/>
  <c r="O4" i="3"/>
  <c r="N4" i="3"/>
  <c r="M4" i="3"/>
  <c r="L4" i="3"/>
  <c r="K4" i="3"/>
  <c r="J4" i="3"/>
  <c r="I4" i="3"/>
  <c r="H4" i="3"/>
  <c r="U50" i="1"/>
  <c r="U17" i="1"/>
  <c r="U70" i="1"/>
  <c r="U16" i="1"/>
  <c r="U54" i="1" s="1"/>
  <c r="Y79" i="1"/>
  <c r="X79" i="1"/>
  <c r="AB79" i="1"/>
  <c r="U56" i="1"/>
  <c r="AC79" i="1"/>
  <c r="AD52" i="1"/>
  <c r="AD59" i="1"/>
  <c r="AD62" i="1"/>
  <c r="AD43" i="1"/>
  <c r="AC32" i="1"/>
  <c r="AC36" i="1"/>
  <c r="AD36" i="1"/>
  <c r="AD8" i="1"/>
  <c r="AD11" i="1"/>
  <c r="AD14" i="1"/>
  <c r="AD17" i="1"/>
  <c r="H23" i="3" l="1"/>
  <c r="L23" i="3"/>
  <c r="I23" i="3"/>
  <c r="M23" i="3"/>
  <c r="J23" i="3"/>
  <c r="N23" i="3"/>
  <c r="K23" i="3"/>
  <c r="O23" i="3"/>
  <c r="G4" i="3"/>
  <c r="U36" i="1"/>
  <c r="T75" i="1" s="1"/>
  <c r="V75" i="1" s="1"/>
  <c r="J85" i="1" s="1"/>
  <c r="L70" i="1"/>
  <c r="F2" i="3"/>
  <c r="Q19" i="1"/>
  <c r="Q70" i="1"/>
  <c r="R70" i="1" s="1"/>
  <c r="M70" i="1"/>
  <c r="F10" i="3"/>
  <c r="P10" i="3" s="1"/>
  <c r="Q10" i="3" s="1"/>
  <c r="AD19" i="1"/>
  <c r="AD28" i="1" s="1"/>
  <c r="M54" i="1"/>
  <c r="N70" i="1"/>
  <c r="M19" i="1"/>
  <c r="U28" i="1"/>
  <c r="T72" i="1" s="1"/>
  <c r="Q36" i="1"/>
  <c r="P75" i="1" s="1"/>
  <c r="R75" i="1" s="1"/>
  <c r="T70" i="1"/>
  <c r="U19" i="1"/>
  <c r="U43" i="1"/>
  <c r="U48" i="1"/>
  <c r="U52" i="1" s="1"/>
  <c r="U62" i="1" s="1"/>
  <c r="P2" i="3" l="1"/>
  <c r="Q2" i="3" s="1"/>
  <c r="Q23" i="3" s="1"/>
  <c r="G23" i="3"/>
  <c r="F12" i="3"/>
  <c r="P12" i="3"/>
  <c r="F4" i="3"/>
  <c r="C7" i="3" s="1"/>
  <c r="T78" i="1"/>
  <c r="U72" i="1"/>
  <c r="U78" i="1" s="1"/>
  <c r="Q48" i="1"/>
  <c r="V70" i="1"/>
  <c r="P4" i="3" l="1"/>
  <c r="P23" i="3" s="1"/>
  <c r="C8" i="3"/>
  <c r="C16" i="3"/>
  <c r="C17" i="3" s="1"/>
  <c r="F23" i="3"/>
  <c r="V72" i="1"/>
  <c r="Q52" i="1"/>
  <c r="R50" i="1" s="1"/>
  <c r="M48" i="1"/>
  <c r="V78" i="1"/>
  <c r="V79" i="1" s="1"/>
  <c r="Q62" i="1" l="1"/>
  <c r="R48" i="1"/>
  <c r="R49" i="1"/>
  <c r="R51" i="1"/>
  <c r="M52" i="1"/>
  <c r="T79" i="1"/>
  <c r="P72" i="1" s="1"/>
  <c r="P78" i="1" s="1"/>
  <c r="V81" i="1"/>
  <c r="U79" i="1"/>
  <c r="Q72" i="1" s="1"/>
  <c r="Q78" i="1" s="1"/>
  <c r="N48" i="1" l="1"/>
  <c r="M62" i="1"/>
  <c r="N51" i="1"/>
  <c r="N49" i="1"/>
  <c r="N50" i="1"/>
  <c r="R72" i="1"/>
  <c r="R78" i="1" l="1"/>
  <c r="Q79" i="1" l="1"/>
  <c r="M72" i="1" s="1"/>
  <c r="M78" i="1" s="1"/>
  <c r="R79" i="1"/>
  <c r="R81" i="1"/>
  <c r="P79" i="1"/>
  <c r="L72" i="1" s="1"/>
  <c r="L78" i="1" s="1"/>
  <c r="N72" i="1" l="1"/>
  <c r="N78" i="1"/>
  <c r="N79" i="1" s="1"/>
  <c r="L79" i="1" l="1"/>
  <c r="H72" i="1" s="1"/>
  <c r="H78" i="1" s="1"/>
  <c r="N81" i="1"/>
  <c r="M79" i="1"/>
  <c r="I72" i="1" s="1"/>
  <c r="I78" i="1" s="1"/>
  <c r="J72" i="1" l="1"/>
  <c r="J84" i="1" s="1"/>
  <c r="J86" i="1" s="1"/>
  <c r="J78" i="1" l="1"/>
  <c r="H79" i="1" s="1"/>
  <c r="D72" i="1" s="1"/>
  <c r="D78" i="1" l="1"/>
  <c r="J26" i="1"/>
  <c r="J79" i="1"/>
  <c r="J80" i="1" s="1"/>
  <c r="I79" i="1"/>
  <c r="E72" i="1" s="1"/>
  <c r="E78" i="1" s="1"/>
  <c r="F72" i="1" l="1"/>
  <c r="F78" i="1"/>
  <c r="F26" i="1" l="1"/>
  <c r="F84" i="1"/>
  <c r="F86" i="1" s="1"/>
  <c r="F79" i="1"/>
  <c r="F80" i="1" s="1"/>
  <c r="D79" i="1"/>
  <c r="E79" i="1"/>
</calcChain>
</file>

<file path=xl/comments1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<sst xmlns="http://schemas.openxmlformats.org/spreadsheetml/2006/main" count="695" uniqueCount="366">
  <si>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</si>
  <si>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</si>
  <si>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</si>
  <si>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</si>
  <si>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</si>
  <si>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</si>
  <si>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</si>
  <si>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</si>
  <si>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</si>
  <si>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</si>
  <si>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</si>
  <si>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</si>
  <si>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</si>
  <si>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</si>
  <si>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</si>
  <si>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</si>
  <si>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</si>
  <si>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</si>
  <si>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</si>
  <si>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</si>
  <si>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</si>
  <si>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</si>
  <si>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</si>
  <si>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</si>
  <si>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</si>
  <si>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</si>
  <si>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</si>
  <si>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</si>
  <si>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</si>
  <si>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</si>
  <si>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</si>
  <si>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</si>
  <si>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</si>
  <si>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</si>
  <si>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</si>
  <si>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</si>
  <si>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</si>
  <si>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</si>
  <si>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</si>
  <si>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</si>
  <si>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</si>
  <si>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</si>
  <si>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</si>
  <si>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</si>
  <si>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</si>
  <si>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</si>
  <si>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</si>
  <si>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</si>
  <si>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</si>
  <si>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</si>
  <si>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</si>
  <si>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</si>
  <si>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</si>
  <si>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</si>
  <si>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</si>
  <si>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from 2014</t>
  </si>
  <si>
    <t>Scrip issues</t>
  </si>
  <si>
    <t>Balance Sheet Of Funds as at 5th April 2015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</si>
  <si>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</si>
  <si>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</si>
  <si>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</si>
  <si>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</si>
  <si>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</si>
  <si>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</si>
  <si>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</si>
  <si>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</si>
  <si>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</si>
  <si>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</si>
  <si>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</si>
  <si>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</si>
  <si>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</si>
  <si>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</si>
  <si>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</si>
  <si>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</si>
  <si>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</si>
  <si>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</si>
  <si>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</si>
  <si>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</si>
  <si>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</si>
  <si>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</si>
  <si>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</si>
  <si>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</si>
  <si>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</si>
  <si>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</si>
  <si>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</si>
  <si>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</si>
  <si>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</si>
  <si>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</si>
  <si>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</si>
  <si>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</si>
  <si>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</si>
  <si>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</si>
  <si>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</si>
  <si>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</si>
  <si>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</si>
  <si>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</si>
  <si>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</si>
  <si>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</si>
  <si>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</si>
  <si>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</si>
  <si>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</si>
  <si>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</si>
  <si>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Land Purchase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</si>
  <si>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</si>
  <si>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</si>
  <si>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</si>
  <si>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</si>
  <si>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</si>
  <si>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</si>
  <si>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</si>
  <si>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</si>
  <si>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</si>
  <si>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</si>
  <si>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</si>
  <si>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</si>
  <si>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</si>
  <si>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</si>
  <si>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</si>
  <si>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</si>
  <si>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</si>
  <si>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</si>
  <si>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</si>
  <si>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</si>
  <si>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</si>
  <si>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</si>
  <si>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</si>
  <si>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</si>
  <si>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</si>
  <si>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</si>
  <si>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</si>
  <si>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</si>
  <si>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</si>
  <si>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</si>
  <si>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</si>
  <si>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</si>
  <si>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</si>
  <si>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</si>
  <si>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</si>
  <si>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</si>
  <si>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</si>
  <si>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</si>
  <si>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</si>
  <si>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</si>
  <si>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</si>
  <si>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</si>
  <si>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</si>
  <si>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</si>
  <si>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</si>
  <si>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</si>
  <si>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</si>
  <si>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</si>
  <si>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</si>
  <si>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</si>
  <si>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</si>
  <si>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</si>
  <si>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</si>
  <si>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</si>
  <si>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</si>
  <si>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</si>
  <si>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</si>
  <si>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</si>
  <si>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</si>
  <si>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</si>
  <si>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</si>
  <si>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</si>
  <si>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</si>
  <si>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</si>
  <si>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</si>
  <si>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</si>
  <si>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</si>
  <si>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</si>
  <si>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</si>
  <si>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</si>
  <si>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</si>
  <si>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</si>
  <si>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</si>
  <si>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</si>
  <si>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</si>
  <si>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</si>
  <si>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</si>
  <si>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</si>
  <si>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</si>
  <si>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</si>
  <si>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</si>
  <si>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</si>
  <si>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</si>
  <si>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</si>
  <si>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</si>
  <si>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</si>
  <si>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</si>
  <si>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</si>
  <si>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</si>
  <si>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</si>
  <si>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</si>
  <si>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</si>
  <si>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</si>
  <si>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</si>
  <si>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</si>
  <si>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</si>
  <si>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</si>
  <si>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</si>
  <si>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</si>
  <si>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</si>
  <si>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</si>
  <si>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</si>
  <si>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</si>
  <si>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</si>
  <si>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</si>
  <si>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</si>
  <si>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</si>
  <si>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</si>
  <si>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</si>
  <si>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</si>
  <si>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</si>
  <si>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</si>
  <si>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</si>
  <si>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</si>
  <si>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</si>
  <si>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</si>
  <si>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</si>
  <si>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</si>
  <si>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</si>
  <si>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</si>
  <si>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</si>
  <si>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</si>
  <si>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</si>
  <si>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</si>
  <si>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</si>
  <si>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</si>
  <si>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</si>
  <si>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</si>
  <si>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</si>
  <si>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</si>
  <si>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</si>
  <si>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</si>
  <si>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</si>
  <si>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</si>
  <si>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</si>
  <si>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</si>
  <si>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</si>
  <si>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</si>
  <si>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</si>
  <si>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</si>
  <si>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</si>
  <si>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</si>
  <si>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</si>
  <si>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</si>
  <si>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</si>
  <si>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</si>
  <si>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</si>
  <si>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</si>
  <si>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</si>
  <si>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</si>
  <si>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</si>
  <si>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</si>
  <si>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</si>
  <si>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</si>
  <si>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</si>
  <si>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</si>
  <si>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</si>
  <si>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</si>
  <si>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</si>
  <si>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</si>
  <si>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</si>
  <si>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</si>
  <si>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</si>
  <si>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</si>
  <si>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</si>
  <si>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</si>
  <si>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</si>
  <si>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</si>
  <si>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</si>
  <si>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</si>
  <si>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</si>
  <si>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</si>
  <si>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</si>
  <si>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</si>
  <si>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</si>
  <si>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Net funds at 5th April 2015</t>
  </si>
  <si>
    <t>period ended 5th April 2014</t>
  </si>
  <si>
    <t>Value at 5/4/15</t>
  </si>
  <si>
    <t>MMC SSAS Fund statement for the year ended 5th April 2016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</si>
  <si>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</si>
  <si>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</si>
  <si>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</si>
  <si>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</si>
  <si>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</si>
  <si>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</si>
  <si>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</si>
  <si>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</si>
  <si>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</si>
  <si>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</si>
  <si>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</si>
  <si>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</si>
  <si>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from 2015</t>
  </si>
  <si>
    <t>from 2016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</si>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</sst>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1"/>
  <sheetViews>
    <sheetView tabSelected="1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C4" sqref="C4"/>
    </sheetView>
  </sheetViews>
  <sheetFormatPr defaultRowHeight="12.75" x14ac:dyDescent="0.2"/>
  <cols>
    <col min="1" max="1" width="3.42578125" customWidth="1"/>
    <col min="2" max="2" width="24" bestFit="1" customWidth="1"/>
    <col min="3" max="3" width="30.85546875" bestFit="1" customWidth="1"/>
    <col min="4" max="4" width="11.28515625" bestFit="1" customWidth="1"/>
    <col min="5" max="5" width="14.42578125" bestFit="1" customWidth="1"/>
    <col min="6" max="6" width="12.28515625" customWidth="1"/>
    <col min="7" max="7" width="2" customWidth="1"/>
    <col min="8" max="8" width="11.28515625" bestFit="1" customWidth="1"/>
    <col min="9" max="9" width="14.42578125" bestFit="1" customWidth="1"/>
    <col min="10" max="10" width="12.28515625" customWidth="1"/>
    <col min="11" max="11" width="2" customWidth="1"/>
    <col min="12" max="12" width="15.7109375" customWidth="1"/>
    <col min="13" max="13" width="18" customWidth="1"/>
    <col min="14" max="14" width="14.85546875" customWidth="1"/>
    <col min="15" max="15" width="3.7109375" customWidth="1"/>
    <col min="16" max="16" width="15.7109375" customWidth="1"/>
    <col min="17" max="17" width="18" customWidth="1"/>
    <col min="18" max="18" width="12.5703125" customWidth="1"/>
    <col min="19" max="19" width="4.140625" customWidth="1"/>
    <col min="20" max="20" width="11.28515625" style="6" bestFit="1" customWidth="1"/>
    <col min="21" max="21" width="15.5703125" style="6" customWidth="1"/>
    <col min="22" max="22" width="11.42578125" style="6" bestFit="1" customWidth="1"/>
    <col min="23" max="23" width="3.28515625" style="6" customWidth="1"/>
    <col min="24" max="24" width="11.42578125" customWidth="1"/>
    <col min="25" max="25" width="14.140625" customWidth="1"/>
    <col min="26" max="26" width="13" style="1" customWidth="1"/>
    <col min="27" max="27" width="2.28515625" customWidth="1"/>
    <col min="28" max="28" width="11.28515625" bestFit="1" customWidth="1"/>
    <col min="29" max="29" width="11.28515625" style="3" customWidth="1"/>
    <col min="30" max="30" width="11.28515625" style="6" customWidth="1"/>
  </cols>
  <sheetData>
    <row r="1" spans="2:30" ht="18" x14ac:dyDescent="0.25">
      <c r="B1" s="9" t="s">
        <v>281</v>
      </c>
      <c r="Y1" s="1"/>
      <c r="Z1"/>
      <c r="AB1" s="2"/>
    </row>
    <row r="2" spans="2:30" x14ac:dyDescent="0.2">
      <c r="B2" s="1"/>
      <c r="E2" s="7" t="s">
        <v>35</v>
      </c>
      <c r="I2" s="7" t="s">
        <v>35</v>
      </c>
      <c r="M2" s="7" t="s">
        <v>35</v>
      </c>
      <c r="Q2" s="7" t="s">
        <v>35</v>
      </c>
      <c r="T2" s="43"/>
      <c r="U2" s="44" t="s">
        <v>35</v>
      </c>
      <c r="V2" s="43"/>
      <c r="X2" s="10"/>
      <c r="Y2" s="33" t="s">
        <v>35</v>
      </c>
      <c r="Z2" s="10"/>
      <c r="AB2" s="11"/>
      <c r="AC2" s="12"/>
      <c r="AD2" s="13" t="s">
        <v>1</v>
      </c>
    </row>
    <row r="3" spans="2:30" x14ac:dyDescent="0.2">
      <c r="E3" s="7">
        <v>2016</v>
      </c>
      <c r="I3" s="7">
        <v>2015</v>
      </c>
      <c r="M3" s="7">
        <v>2014</v>
      </c>
      <c r="Q3" s="7">
        <v>2013</v>
      </c>
      <c r="T3" s="43"/>
      <c r="U3" s="44">
        <v>2012</v>
      </c>
      <c r="V3" s="43"/>
      <c r="X3" s="10"/>
      <c r="Y3" s="33">
        <v>2011</v>
      </c>
      <c r="Z3" s="10"/>
      <c r="AB3" s="11"/>
      <c r="AC3" s="12"/>
      <c r="AD3" s="14">
        <v>2010</v>
      </c>
    </row>
    <row r="4" spans="2:30" x14ac:dyDescent="0.2">
      <c r="D4" s="32" t="s">
        <v>2</v>
      </c>
      <c r="E4" s="7" t="s">
        <v>2</v>
      </c>
      <c r="F4" s="32" t="s">
        <v>2</v>
      </c>
      <c r="H4" s="32" t="s">
        <v>2</v>
      </c>
      <c r="I4" s="7" t="s">
        <v>2</v>
      </c>
      <c r="J4" s="32" t="s">
        <v>2</v>
      </c>
      <c r="L4" s="32" t="s">
        <v>2</v>
      </c>
      <c r="M4" s="7" t="s">
        <v>2</v>
      </c>
      <c r="N4" s="32" t="s">
        <v>2</v>
      </c>
      <c r="O4" s="32"/>
      <c r="P4" s="32" t="s">
        <v>2</v>
      </c>
      <c r="Q4" s="7" t="s">
        <v>2</v>
      </c>
      <c r="R4" s="32" t="s">
        <v>2</v>
      </c>
      <c r="S4" s="32"/>
      <c r="T4" s="44" t="s">
        <v>2</v>
      </c>
      <c r="U4" s="44" t="s">
        <v>2</v>
      </c>
      <c r="V4" s="44" t="s">
        <v>2</v>
      </c>
      <c r="W4" s="35"/>
      <c r="X4" s="33" t="s">
        <v>2</v>
      </c>
      <c r="Y4" s="33" t="s">
        <v>2</v>
      </c>
      <c r="Z4" s="33" t="s">
        <v>2</v>
      </c>
      <c r="AA4" s="32"/>
      <c r="AB4" s="34"/>
      <c r="AC4" s="16" t="s">
        <v>2</v>
      </c>
      <c r="AD4" s="13" t="s">
        <v>2</v>
      </c>
    </row>
    <row r="5" spans="2:30" x14ac:dyDescent="0.2">
      <c r="B5" s="1" t="s">
        <v>3</v>
      </c>
      <c r="T5" s="43"/>
      <c r="U5" s="43"/>
      <c r="V5" s="43"/>
      <c r="X5" s="28"/>
      <c r="Y5" s="28"/>
      <c r="Z5" s="28"/>
      <c r="AB5" s="15"/>
      <c r="AC5" s="11"/>
      <c r="AD5" s="13"/>
    </row>
    <row r="6" spans="2:30" x14ac:dyDescent="0.2">
      <c r="B6" s="1" t="s">
        <v>4</v>
      </c>
      <c r="M6" s="2"/>
      <c r="Q6" s="2"/>
      <c r="T6" s="43"/>
      <c r="U6" s="43"/>
      <c r="V6" s="43"/>
      <c r="X6" s="28"/>
      <c r="Y6" s="28"/>
      <c r="Z6" s="28"/>
      <c r="AB6" s="15"/>
      <c r="AC6" s="11"/>
      <c r="AD6" s="13"/>
    </row>
    <row r="7" spans="2:30" x14ac:dyDescent="0.2">
      <c r="C7" t="s">
        <v>42</v>
      </c>
      <c r="E7" s="2"/>
      <c r="I7" s="2"/>
      <c r="M7" s="2"/>
      <c r="Q7" s="2"/>
      <c r="T7" s="43"/>
      <c r="U7" s="45"/>
      <c r="V7" s="43"/>
      <c r="X7" s="28"/>
      <c r="Y7" s="28"/>
      <c r="Z7" s="28"/>
      <c r="AB7" s="11"/>
      <c r="AC7" s="11">
        <v>167392.64000000001</v>
      </c>
      <c r="AD7" s="13"/>
    </row>
    <row r="8" spans="2:30" x14ac:dyDescent="0.2">
      <c r="C8" t="s">
        <v>29</v>
      </c>
      <c r="E8" s="2"/>
      <c r="I8" s="2"/>
      <c r="M8" s="2"/>
      <c r="Q8" s="2"/>
      <c r="T8" s="43"/>
      <c r="U8" s="45"/>
      <c r="V8" s="43"/>
      <c r="X8" s="28"/>
      <c r="Y8" s="28"/>
      <c r="Z8" s="28"/>
      <c r="AB8" s="11"/>
      <c r="AC8" s="11">
        <v>29090.25</v>
      </c>
      <c r="AD8" s="13">
        <f>+AC7+AC8</f>
        <v>196482.89</v>
      </c>
    </row>
    <row r="9" spans="2:30" x14ac:dyDescent="0.2">
      <c r="B9" s="1" t="s">
        <v>5</v>
      </c>
      <c r="E9" s="2"/>
      <c r="I9" s="2"/>
      <c r="M9" s="2"/>
      <c r="Q9" s="2"/>
      <c r="T9" s="43"/>
      <c r="U9" s="45"/>
      <c r="V9" s="43"/>
      <c r="X9" s="28"/>
      <c r="Y9" s="28"/>
      <c r="Z9" s="28"/>
      <c r="AB9" s="11"/>
      <c r="AC9" s="11"/>
      <c r="AD9" s="13"/>
    </row>
    <row r="10" spans="2:30" x14ac:dyDescent="0.2">
      <c r="C10" t="s">
        <v>42</v>
      </c>
      <c r="E10" s="2">
        <v>1250</v>
      </c>
      <c r="I10" s="2">
        <v>1250</v>
      </c>
      <c r="M10" s="2">
        <v>120</v>
      </c>
      <c r="Q10" s="2">
        <v>3500</v>
      </c>
      <c r="T10" s="43"/>
      <c r="U10" s="45">
        <v>13200</v>
      </c>
      <c r="V10" s="43"/>
      <c r="X10" s="28"/>
      <c r="Y10" s="28">
        <v>26500</v>
      </c>
      <c r="Z10" s="28"/>
      <c r="AB10" s="11"/>
      <c r="AC10" s="11">
        <v>24665</v>
      </c>
      <c r="AD10" s="13"/>
    </row>
    <row r="11" spans="2:30" x14ac:dyDescent="0.2">
      <c r="C11" t="s">
        <v>29</v>
      </c>
      <c r="E11" s="2">
        <v>6250</v>
      </c>
      <c r="I11" s="2">
        <v>6550</v>
      </c>
      <c r="M11" s="2">
        <v>5990</v>
      </c>
      <c r="Q11" s="2">
        <v>3500</v>
      </c>
      <c r="T11" s="43"/>
      <c r="U11" s="45">
        <v>7755</v>
      </c>
      <c r="V11" s="43"/>
      <c r="X11" s="28"/>
      <c r="Y11" s="28">
        <v>5275</v>
      </c>
      <c r="Z11" s="28"/>
      <c r="AB11" s="11"/>
      <c r="AC11" s="11">
        <v>4472</v>
      </c>
      <c r="AD11" s="13">
        <f>+AC10+AC11</f>
        <v>29137</v>
      </c>
    </row>
    <row r="12" spans="2:30" x14ac:dyDescent="0.2">
      <c r="B12" s="1" t="s">
        <v>6</v>
      </c>
      <c r="E12" s="2"/>
      <c r="I12" s="2"/>
      <c r="M12" s="2"/>
      <c r="Q12" s="2"/>
      <c r="T12" s="43"/>
      <c r="U12" s="45"/>
      <c r="V12" s="43"/>
      <c r="X12" s="28"/>
      <c r="Y12" s="28"/>
      <c r="Z12" s="28"/>
      <c r="AB12" s="11"/>
      <c r="AC12" s="11"/>
      <c r="AD12" s="13"/>
    </row>
    <row r="13" spans="2:30" x14ac:dyDescent="0.2">
      <c r="C13" t="s">
        <v>42</v>
      </c>
      <c r="E13" s="2"/>
      <c r="I13" s="2"/>
      <c r="M13" s="2">
        <v>0</v>
      </c>
      <c r="Q13" s="2">
        <v>0</v>
      </c>
      <c r="T13" s="43"/>
      <c r="U13" s="45">
        <v>6056.28</v>
      </c>
      <c r="V13" s="43"/>
      <c r="X13" s="28"/>
      <c r="Y13" s="28">
        <v>8075.04</v>
      </c>
      <c r="Z13" s="28"/>
      <c r="AB13" s="11"/>
      <c r="AC13" s="11">
        <v>3364.5</v>
      </c>
      <c r="AD13" s="13"/>
    </row>
    <row r="14" spans="2:30" x14ac:dyDescent="0.2">
      <c r="C14" t="s">
        <v>29</v>
      </c>
      <c r="E14" s="2"/>
      <c r="I14" s="2"/>
      <c r="M14" s="2">
        <v>0</v>
      </c>
      <c r="Q14" s="2">
        <v>0</v>
      </c>
      <c r="T14" s="43"/>
      <c r="U14" s="45"/>
      <c r="V14" s="43"/>
      <c r="X14" s="28"/>
      <c r="Y14" s="28">
        <v>2000</v>
      </c>
      <c r="Z14" s="28"/>
      <c r="AB14" s="11"/>
      <c r="AC14" s="11">
        <v>0</v>
      </c>
      <c r="AD14" s="13">
        <f>+AC13+AC14</f>
        <v>3364.5</v>
      </c>
    </row>
    <row r="15" spans="2:30" x14ac:dyDescent="0.2">
      <c r="B15" s="1" t="s">
        <v>7</v>
      </c>
      <c r="E15" s="2"/>
      <c r="I15" s="2"/>
      <c r="M15" s="2"/>
      <c r="Q15" s="2"/>
      <c r="T15" s="43"/>
      <c r="U15" s="45"/>
      <c r="V15" s="43"/>
      <c r="X15" s="28"/>
      <c r="Y15" s="28"/>
      <c r="Z15" s="28"/>
      <c r="AB15" s="11"/>
      <c r="AC15" s="11"/>
      <c r="AD15" s="13"/>
    </row>
    <row r="16" spans="2:30" x14ac:dyDescent="0.2">
      <c r="C16" t="s">
        <v>42</v>
      </c>
      <c r="E16" s="2">
        <f>+E10/0.8*0.2</f>
        <v>312.5</v>
      </c>
      <c r="I16" s="2">
        <f>+I10/0.8*0.2</f>
        <v>312.5</v>
      </c>
      <c r="M16" s="2">
        <f>+M10/0.8*0.2</f>
        <v>30</v>
      </c>
      <c r="Q16" s="2">
        <f>+Q10/0.8*0.2</f>
        <v>875</v>
      </c>
      <c r="T16" s="43"/>
      <c r="U16" s="45">
        <f>+U10/0.8-U10</f>
        <v>3300</v>
      </c>
      <c r="V16" s="43"/>
      <c r="X16" s="28"/>
      <c r="Y16" s="28">
        <v>6625</v>
      </c>
      <c r="Z16" s="28"/>
      <c r="AB16" s="11"/>
      <c r="AC16" s="11">
        <v>6166.25</v>
      </c>
      <c r="AD16" s="13"/>
    </row>
    <row r="17" spans="2:30" x14ac:dyDescent="0.2">
      <c r="C17" t="s">
        <v>29</v>
      </c>
      <c r="E17" s="2">
        <f>+E11/0.8*0.2</f>
        <v>1562.5</v>
      </c>
      <c r="I17" s="2">
        <f>+I11/0.8*0.2</f>
        <v>1637.5</v>
      </c>
      <c r="M17" s="2">
        <f>+M11/0.8*0.2</f>
        <v>1497.5</v>
      </c>
      <c r="Q17" s="2">
        <f>+Q11/0.8*0.2</f>
        <v>875</v>
      </c>
      <c r="T17" s="43"/>
      <c r="U17" s="45">
        <f>+U11/0.8-U11</f>
        <v>1938.75</v>
      </c>
      <c r="V17" s="43"/>
      <c r="X17" s="28"/>
      <c r="Y17" s="28">
        <v>1318.75</v>
      </c>
      <c r="Z17" s="28"/>
      <c r="AB17" s="11"/>
      <c r="AC17" s="17">
        <v>1118</v>
      </c>
      <c r="AD17" s="18">
        <f>+AC16+AC17</f>
        <v>7284.25</v>
      </c>
    </row>
    <row r="18" spans="2:30" x14ac:dyDescent="0.2">
      <c r="M18" s="2"/>
      <c r="Q18" s="2"/>
      <c r="T18" s="43"/>
      <c r="U18" s="45"/>
      <c r="V18" s="43"/>
      <c r="X18" s="28"/>
      <c r="Y18" s="28"/>
      <c r="Z18" s="28"/>
      <c r="AB18" s="11"/>
      <c r="AC18" s="11"/>
      <c r="AD18" s="13"/>
    </row>
    <row r="19" spans="2:30" ht="13.5" thickBot="1" x14ac:dyDescent="0.25">
      <c r="C19" s="1" t="s">
        <v>8</v>
      </c>
      <c r="D19" s="1"/>
      <c r="E19" s="5">
        <f>SUM(E8:E18)</f>
        <v>9375</v>
      </c>
      <c r="F19" s="1"/>
      <c r="G19" s="1"/>
      <c r="H19" s="1"/>
      <c r="I19" s="5">
        <f>SUM(I8:I18)</f>
        <v>9750</v>
      </c>
      <c r="J19" s="1"/>
      <c r="K19" s="1"/>
      <c r="L19" s="1"/>
      <c r="M19" s="5">
        <f>SUM(M8:M18)</f>
        <v>7637.5</v>
      </c>
      <c r="N19" s="1"/>
      <c r="O19" s="1"/>
      <c r="P19" s="1"/>
      <c r="Q19" s="5">
        <f>SUM(Q8:Q18)</f>
        <v>8750</v>
      </c>
      <c r="R19" s="1"/>
      <c r="S19" s="1"/>
      <c r="T19" s="43"/>
      <c r="U19" s="46">
        <f>SUM(U8:U18)</f>
        <v>32250.03</v>
      </c>
      <c r="V19" s="43"/>
      <c r="X19" s="28"/>
      <c r="Y19" s="29">
        <v>49793.79</v>
      </c>
      <c r="Z19" s="28"/>
      <c r="AB19" s="11"/>
      <c r="AC19" s="11"/>
      <c r="AD19" s="18">
        <f>SUM(AD8:AD18)</f>
        <v>236268.64</v>
      </c>
    </row>
    <row r="20" spans="2:30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1"/>
      <c r="O20" s="1"/>
      <c r="P20" s="1"/>
      <c r="Q20" s="4"/>
      <c r="R20" s="1"/>
      <c r="S20" s="1"/>
      <c r="T20" s="43"/>
      <c r="U20" s="47"/>
      <c r="V20" s="43"/>
      <c r="X20" s="28"/>
      <c r="Y20" s="28"/>
      <c r="Z20" s="28"/>
      <c r="AB20" s="11"/>
      <c r="AC20" s="11"/>
      <c r="AD20" s="19"/>
    </row>
    <row r="21" spans="2:30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  <c r="O21" s="1"/>
      <c r="P21" s="1"/>
      <c r="Q21" s="4"/>
      <c r="R21" s="1"/>
      <c r="S21" s="1"/>
      <c r="T21" s="43"/>
      <c r="U21" s="47"/>
      <c r="V21" s="43"/>
      <c r="X21" s="28"/>
      <c r="Y21" s="28"/>
      <c r="Z21" s="28"/>
      <c r="AB21" s="11"/>
      <c r="AC21" s="11"/>
      <c r="AD21" s="19"/>
    </row>
    <row r="22" spans="2:30" x14ac:dyDescent="0.2">
      <c r="C22" t="s">
        <v>34</v>
      </c>
      <c r="E22" s="2">
        <v>2000</v>
      </c>
      <c r="I22" s="2">
        <f>+'Receipts &amp; Payments 2015'!G105</f>
        <v>1500</v>
      </c>
      <c r="M22" s="60">
        <v>1125</v>
      </c>
      <c r="Q22" s="2">
        <v>875</v>
      </c>
      <c r="T22" s="43"/>
      <c r="U22" s="45">
        <v>800</v>
      </c>
      <c r="V22" s="43"/>
      <c r="X22" s="28"/>
      <c r="Y22" s="28">
        <v>500</v>
      </c>
      <c r="Z22" s="28"/>
      <c r="AB22" s="11"/>
      <c r="AC22" s="12"/>
      <c r="AD22" s="22"/>
    </row>
    <row r="23" spans="2:30" x14ac:dyDescent="0.2">
      <c r="C23" t="s">
        <v>38</v>
      </c>
      <c r="E23" s="2">
        <v>6395.9</v>
      </c>
      <c r="I23" s="2">
        <f>+'Receipts &amp; Payments 2015'!K105+'Receipts &amp; Payments 2015'!F42</f>
        <v>1412.7399999999998</v>
      </c>
      <c r="M23" s="2">
        <f>1315.02+17.99</f>
        <v>1333.01</v>
      </c>
      <c r="Q23" s="2">
        <f>1.76+304.76+48.34+222.88+158.03+723.84+381.21+132.01+46.17+162.29+1.9+48.24+72.23+149.76+68.85+766.59+19</f>
        <v>3307.86</v>
      </c>
      <c r="T23" s="43"/>
      <c r="U23" s="45">
        <v>3174.18</v>
      </c>
      <c r="V23" s="43"/>
      <c r="X23" s="28"/>
      <c r="Y23" s="28">
        <f>1350.9+0.94</f>
        <v>1351.8400000000001</v>
      </c>
      <c r="Z23" s="28"/>
      <c r="AB23" s="11"/>
      <c r="AC23" s="12"/>
      <c r="AD23" s="22"/>
    </row>
    <row r="24" spans="2:30" x14ac:dyDescent="0.2">
      <c r="C24" s="50" t="s">
        <v>56</v>
      </c>
      <c r="D24" s="50"/>
      <c r="E24" s="54">
        <v>0</v>
      </c>
      <c r="F24" s="50"/>
      <c r="G24" s="50"/>
      <c r="H24" s="50"/>
      <c r="I24" s="54">
        <v>776.44</v>
      </c>
      <c r="J24" s="50"/>
      <c r="K24" s="50"/>
      <c r="M24" s="2">
        <v>1706.32</v>
      </c>
      <c r="Q24" s="2">
        <f>2348.18+110.47</f>
        <v>2458.6499999999996</v>
      </c>
      <c r="T24" s="43"/>
      <c r="U24" s="45">
        <v>3364.36</v>
      </c>
      <c r="V24" s="43"/>
      <c r="X24" s="28"/>
      <c r="Y24" s="28">
        <f>151.74+127.07</f>
        <v>278.81</v>
      </c>
      <c r="Z24" s="28"/>
      <c r="AB24" s="11"/>
      <c r="AC24" s="12"/>
      <c r="AD24" s="22"/>
    </row>
    <row r="25" spans="2:30" x14ac:dyDescent="0.2">
      <c r="C25" t="s">
        <v>39</v>
      </c>
      <c r="E25" s="2">
        <f>+(4242-3458)+(7973.95-5130-2528.84)+(9162.23-8518.12)+(11307.68-9740)+(7418.34-7058)+(1280+6700.64-5000-4997.31)+(8907.75-8494.25)+(9526.46-8948)+(12406.58-4735.27-4605.88)-(1328-3992.52-1070)</f>
        <v>9446.4799999999977</v>
      </c>
      <c r="I25" s="2">
        <f>8559.34+291+12652.24+11723.47+287.18+136.69+20.76+2591.53+123.98+1686+148.4+204+1022+20386.24-221.93</f>
        <v>59610.900000000016</v>
      </c>
      <c r="M25" s="2">
        <f>54.91+430.67+946.89+437.18+379.16+837.14+2512.66+117.04+2540.38+7703.23+5501.7+239.37+20+1658.82+3985.21+2911.23+505.09+674.14+323.53+887.6+890.22+287.94</f>
        <v>33844.109999999993</v>
      </c>
      <c r="Q25" s="2">
        <f>-7498.1+59.45+672.92+684.84+279.09+385.71+417.82+59.45+84.41+292.56+302.16+254.82+462.11+95.24+6145.85+796.82+277.05+1258.95+1316.91+1575.84+1517.08+953.83+622.67+2079.55+127.48</f>
        <v>13224.509999999998</v>
      </c>
      <c r="T25" s="43"/>
      <c r="U25" s="45">
        <v>19803.34</v>
      </c>
      <c r="V25" s="43"/>
      <c r="X25" s="28"/>
      <c r="Y25" s="28">
        <v>24815.73</v>
      </c>
      <c r="Z25" s="28"/>
      <c r="AB25" s="11"/>
      <c r="AC25" s="12"/>
      <c r="AD25" s="22"/>
    </row>
    <row r="26" spans="2:30" x14ac:dyDescent="0.2">
      <c r="C26" t="s">
        <v>52</v>
      </c>
      <c r="E26" s="59">
        <v>-25744.959999999999</v>
      </c>
      <c r="F26" s="8">
        <f>+E62-F78</f>
        <v>-1.4781900099478662E-3</v>
      </c>
      <c r="I26" s="59">
        <f>+'Share costs 5-4-15'!E85</f>
        <v>-57325.212959310011</v>
      </c>
      <c r="J26" s="8">
        <f>+I62-J78</f>
        <v>2.9593099607154727E-3</v>
      </c>
      <c r="M26" s="2">
        <v>23045.97</v>
      </c>
      <c r="Q26" s="2">
        <v>8729.61</v>
      </c>
      <c r="T26" s="43"/>
      <c r="U26" s="45">
        <v>-28899.31</v>
      </c>
      <c r="V26" s="43"/>
      <c r="X26" s="28"/>
      <c r="Y26" s="28"/>
      <c r="Z26" s="28"/>
      <c r="AB26" s="11"/>
      <c r="AC26" s="12"/>
      <c r="AD26" s="22"/>
    </row>
    <row r="27" spans="2:30" x14ac:dyDescent="0.2">
      <c r="C27" t="s">
        <v>9</v>
      </c>
      <c r="E27" s="2">
        <f>+'Receipts &amp; Payments 2016'!F19</f>
        <v>5.9099999999999993</v>
      </c>
      <c r="I27" s="2">
        <v>8.83</v>
      </c>
      <c r="M27" s="2">
        <f>5.36+1.07</f>
        <v>6.4300000000000006</v>
      </c>
      <c r="Q27" s="2">
        <v>198.47</v>
      </c>
      <c r="T27" s="43"/>
      <c r="U27" s="45">
        <v>206.44</v>
      </c>
      <c r="V27" s="43"/>
      <c r="X27" s="28"/>
      <c r="Y27" s="28">
        <v>1538.84</v>
      </c>
      <c r="Z27" s="28"/>
      <c r="AB27" s="11"/>
      <c r="AC27" s="12"/>
      <c r="AD27" s="26">
        <v>151.88999999999999</v>
      </c>
    </row>
    <row r="28" spans="2:30" ht="13.5" thickBot="1" x14ac:dyDescent="0.25">
      <c r="C28" s="1" t="s">
        <v>40</v>
      </c>
      <c r="D28" s="1"/>
      <c r="E28" s="5">
        <f>SUM(E22:E27)</f>
        <v>-7896.6700000000019</v>
      </c>
      <c r="F28" s="1"/>
      <c r="G28" s="1"/>
      <c r="H28" s="1"/>
      <c r="I28" s="5">
        <f>SUM(I22:I27)</f>
        <v>5983.6970406900055</v>
      </c>
      <c r="J28" s="1"/>
      <c r="K28" s="1"/>
      <c r="L28" s="1"/>
      <c r="M28" s="5">
        <f>SUM(M22:M27)</f>
        <v>61060.84</v>
      </c>
      <c r="N28" s="1"/>
      <c r="O28" s="1"/>
      <c r="P28" s="1"/>
      <c r="Q28" s="5">
        <f>SUM(Q22:Q27)</f>
        <v>28794.1</v>
      </c>
      <c r="R28" s="1"/>
      <c r="S28" s="1"/>
      <c r="T28" s="43"/>
      <c r="U28" s="46">
        <f>SUM(U22:U27)</f>
        <v>-1550.9900000000002</v>
      </c>
      <c r="V28" s="43"/>
      <c r="X28" s="28"/>
      <c r="Y28" s="29">
        <f>SUM(Y22:Y27)</f>
        <v>28485.22</v>
      </c>
      <c r="Z28" s="28"/>
      <c r="AB28" s="11"/>
      <c r="AC28" s="12"/>
      <c r="AD28" s="23">
        <f>+AD19+AD27</f>
        <v>236420.53000000003</v>
      </c>
    </row>
    <row r="29" spans="2:30" ht="13.5" thickTop="1" x14ac:dyDescent="0.2">
      <c r="B29" s="1" t="s">
        <v>10</v>
      </c>
      <c r="F29" t="s">
        <v>214</v>
      </c>
      <c r="J29" t="s">
        <v>214</v>
      </c>
      <c r="M29" s="2"/>
      <c r="N29" t="s">
        <v>214</v>
      </c>
      <c r="Q29" s="2"/>
      <c r="T29" s="43"/>
      <c r="U29" s="45"/>
      <c r="V29" s="43"/>
      <c r="X29" s="28"/>
      <c r="Y29" s="28"/>
      <c r="Z29" s="28"/>
      <c r="AB29" s="11"/>
      <c r="AC29" s="12"/>
      <c r="AD29" s="22"/>
    </row>
    <row r="30" spans="2:30" x14ac:dyDescent="0.2">
      <c r="F30" s="8">
        <f>+E19+E22+E23+E24+E27+E36</f>
        <v>24167.590000000004</v>
      </c>
      <c r="J30" s="8">
        <f>+I19+I22+I23+I24+I27+I36</f>
        <v>19915.060000000001</v>
      </c>
      <c r="M30" s="2"/>
      <c r="N30" s="8">
        <f>+M19+M22+M23+M24+M27+M36</f>
        <v>18016.239999999998</v>
      </c>
      <c r="Q30" s="2"/>
      <c r="T30" s="43"/>
      <c r="U30" s="45"/>
      <c r="V30" s="43"/>
      <c r="X30" s="28"/>
      <c r="Y30" s="28"/>
      <c r="Z30" s="28"/>
      <c r="AB30" s="11"/>
      <c r="AC30" s="12"/>
      <c r="AD30" s="22"/>
    </row>
    <row r="31" spans="2:30" x14ac:dyDescent="0.2">
      <c r="C31" t="s">
        <v>11</v>
      </c>
      <c r="M31" s="2"/>
      <c r="Q31" s="2"/>
      <c r="T31" s="43">
        <v>0</v>
      </c>
      <c r="U31" s="45"/>
      <c r="V31" s="43"/>
      <c r="X31" s="28">
        <v>0</v>
      </c>
      <c r="Y31" s="28"/>
      <c r="Z31" s="28"/>
      <c r="AB31" s="11"/>
      <c r="AC31" s="13">
        <v>1175</v>
      </c>
      <c r="AD31" s="22"/>
    </row>
    <row r="32" spans="2:30" x14ac:dyDescent="0.2">
      <c r="C32" t="s">
        <v>12</v>
      </c>
      <c r="D32" s="2">
        <f>+'Receipts &amp; Payments 2016'!E34</f>
        <v>1140</v>
      </c>
      <c r="H32" s="2">
        <f>+'Receipts &amp; Payments 2015'!E34</f>
        <v>1140</v>
      </c>
      <c r="L32">
        <v>1140</v>
      </c>
      <c r="M32" s="2"/>
      <c r="P32">
        <f>285+285+285+285</f>
        <v>1140</v>
      </c>
      <c r="Q32" s="2"/>
      <c r="T32" s="45">
        <v>1140</v>
      </c>
      <c r="U32" s="43"/>
      <c r="V32" s="43"/>
      <c r="X32" s="28">
        <v>837.18</v>
      </c>
      <c r="Y32" s="28"/>
      <c r="Z32" s="28"/>
      <c r="AB32" s="11"/>
      <c r="AC32" s="13">
        <f>279.06*2</f>
        <v>558.12</v>
      </c>
      <c r="AD32" s="22"/>
    </row>
    <row r="33" spans="2:30" x14ac:dyDescent="0.2">
      <c r="C33" s="50" t="s">
        <v>101</v>
      </c>
      <c r="D33" s="2">
        <v>178.31</v>
      </c>
      <c r="H33" s="2">
        <f>+'Receipts &amp; Payments 2015'!F27+'Receipts &amp; Payments 2015'!E44-'Receipts &amp; Payments 2015'!H105</f>
        <v>253.06</v>
      </c>
      <c r="M33" s="2"/>
      <c r="Q33" s="2"/>
      <c r="T33" s="45"/>
      <c r="U33" s="43"/>
      <c r="V33" s="43"/>
      <c r="X33" s="28"/>
      <c r="Y33" s="28"/>
      <c r="Z33" s="28"/>
      <c r="AB33" s="11"/>
      <c r="AC33" s="13"/>
      <c r="AD33" s="22"/>
    </row>
    <row r="34" spans="2:30" x14ac:dyDescent="0.2">
      <c r="C34" s="6" t="s">
        <v>51</v>
      </c>
      <c r="D34" s="36">
        <f>+'Receipts &amp; Payments 2016'!I34</f>
        <v>29</v>
      </c>
      <c r="F34" s="6"/>
      <c r="G34" s="6"/>
      <c r="H34" s="36">
        <f>+'Receipts &amp; Payments 2015'!I34</f>
        <v>29</v>
      </c>
      <c r="J34" s="6"/>
      <c r="K34" s="6"/>
      <c r="L34">
        <v>29</v>
      </c>
      <c r="M34" s="2"/>
      <c r="P34">
        <v>61.55</v>
      </c>
      <c r="Q34" s="2"/>
      <c r="T34" s="45"/>
      <c r="U34" s="43"/>
      <c r="V34" s="43"/>
      <c r="X34" s="28"/>
      <c r="Y34" s="28"/>
      <c r="Z34" s="28"/>
      <c r="AB34" s="11"/>
      <c r="AC34" s="13"/>
      <c r="AD34" s="22"/>
    </row>
    <row r="35" spans="2:30" x14ac:dyDescent="0.2">
      <c r="C35" t="s">
        <v>13</v>
      </c>
      <c r="D35" s="2">
        <v>5000</v>
      </c>
      <c r="H35" s="2">
        <f>+'Receipts &amp; Payments 2015'!H34</f>
        <v>5000</v>
      </c>
      <c r="L35">
        <v>5000</v>
      </c>
      <c r="M35" s="2"/>
      <c r="P35">
        <v>5000</v>
      </c>
      <c r="Q35" s="2"/>
      <c r="T35" s="45">
        <v>5000</v>
      </c>
      <c r="U35" s="43"/>
      <c r="V35" s="43"/>
      <c r="X35" s="28">
        <v>5000</v>
      </c>
      <c r="Y35" s="28"/>
      <c r="Z35" s="28"/>
      <c r="AB35" s="11"/>
      <c r="AC35" s="13">
        <v>3000</v>
      </c>
      <c r="AD35" s="22"/>
    </row>
    <row r="36" spans="2:30" ht="13.5" thickBot="1" x14ac:dyDescent="0.25">
      <c r="C36" t="s">
        <v>14</v>
      </c>
      <c r="D36" s="59">
        <f>+'Receipts &amp; Payments 2016'!D34</f>
        <v>43.47</v>
      </c>
      <c r="E36" s="5">
        <f>+D31+D32+D35+D36+D34+D33</f>
        <v>6390.7800000000007</v>
      </c>
      <c r="H36" s="59">
        <f>+'Receipts &amp; Payments 2015'!D34</f>
        <v>44.99</v>
      </c>
      <c r="I36" s="5">
        <f>+H31+H32+H35+H36+H34+H33</f>
        <v>6467.05</v>
      </c>
      <c r="L36">
        <f>10.13+10.39+9.53+8.93</f>
        <v>38.980000000000004</v>
      </c>
      <c r="M36" s="5">
        <f>+L31+L32+L35+L36+L34</f>
        <v>6207.98</v>
      </c>
      <c r="P36">
        <f>11.85+8.93+9.53+11.25</f>
        <v>41.56</v>
      </c>
      <c r="Q36" s="5">
        <f>+P31+P32+P35+P36+P34</f>
        <v>6243.1100000000006</v>
      </c>
      <c r="T36" s="45">
        <v>59.34</v>
      </c>
      <c r="U36" s="46">
        <f>+T31+T32+T35+T36</f>
        <v>6199.34</v>
      </c>
      <c r="V36" s="43"/>
      <c r="X36" s="28">
        <v>61.14</v>
      </c>
      <c r="Y36" s="29">
        <v>5898.32</v>
      </c>
      <c r="Z36" s="28"/>
      <c r="AB36" s="11"/>
      <c r="AC36" s="21">
        <f>50+12.36</f>
        <v>62.36</v>
      </c>
      <c r="AD36" s="23">
        <f>+AC31+AC32+AC36+AC35</f>
        <v>4795.4799999999996</v>
      </c>
    </row>
    <row r="37" spans="2:30" ht="13.5" thickTop="1" x14ac:dyDescent="0.2">
      <c r="B37" s="1" t="s">
        <v>41</v>
      </c>
      <c r="M37" s="2"/>
      <c r="Q37" s="2"/>
      <c r="T37" s="43"/>
      <c r="U37" s="43"/>
      <c r="V37" s="43"/>
      <c r="X37" s="28"/>
      <c r="Y37" s="28"/>
      <c r="Z37" s="28"/>
      <c r="AB37" s="11"/>
      <c r="AC37" s="12"/>
      <c r="AD37" s="22"/>
    </row>
    <row r="38" spans="2:30" x14ac:dyDescent="0.2">
      <c r="M38" s="2"/>
      <c r="Q38" s="2"/>
      <c r="T38" s="43"/>
      <c r="U38" s="45"/>
      <c r="V38" s="43"/>
      <c r="X38" s="28"/>
      <c r="Y38" s="28"/>
      <c r="Z38" s="28"/>
      <c r="AB38" s="11"/>
      <c r="AC38" s="12"/>
      <c r="AD38" s="22"/>
    </row>
    <row r="39" spans="2:30" x14ac:dyDescent="0.2">
      <c r="C39" t="s">
        <v>15</v>
      </c>
      <c r="D39" s="50" t="s">
        <v>276</v>
      </c>
      <c r="E39" s="2">
        <f>180+30000</f>
        <v>30180</v>
      </c>
      <c r="H39" s="50" t="s">
        <v>274</v>
      </c>
      <c r="I39" s="2">
        <f>828+60000</f>
        <v>60828</v>
      </c>
      <c r="L39" s="50" t="s">
        <v>275</v>
      </c>
      <c r="M39" s="60">
        <v>45000</v>
      </c>
      <c r="P39" s="50" t="s">
        <v>276</v>
      </c>
      <c r="Q39" s="2">
        <f>30000+600</f>
        <v>30600</v>
      </c>
      <c r="T39" s="106" t="s">
        <v>276</v>
      </c>
      <c r="U39" s="45">
        <v>30000</v>
      </c>
      <c r="V39" s="43"/>
      <c r="X39" s="107" t="s">
        <v>44</v>
      </c>
      <c r="Y39" s="28">
        <v>37800</v>
      </c>
      <c r="Z39" s="28"/>
      <c r="AB39" s="11"/>
      <c r="AC39" s="12" t="s">
        <v>44</v>
      </c>
      <c r="AD39" s="13">
        <v>37500</v>
      </c>
    </row>
    <row r="40" spans="2:30" x14ac:dyDescent="0.2">
      <c r="C40" t="s">
        <v>16</v>
      </c>
      <c r="M40" s="2"/>
      <c r="Q40" s="2"/>
      <c r="T40" s="43"/>
      <c r="U40" s="45"/>
      <c r="V40" s="43"/>
      <c r="X40" s="28"/>
      <c r="Y40" s="28"/>
      <c r="Z40" s="28"/>
      <c r="AB40" s="11"/>
      <c r="AC40" s="12"/>
      <c r="AD40" s="22">
        <v>189119.86</v>
      </c>
    </row>
    <row r="41" spans="2:30" x14ac:dyDescent="0.2">
      <c r="C41" s="50" t="s">
        <v>209</v>
      </c>
      <c r="E41" s="70">
        <f>-'Share value 5-4-16'!I75</f>
        <v>-78925.62999999999</v>
      </c>
      <c r="I41" s="70">
        <f>-'Receipts &amp; Payments 2015'!F45-'Receipts &amp; Payments 2015'!I105</f>
        <v>-188428.67</v>
      </c>
      <c r="M41" s="2"/>
      <c r="Q41" s="2"/>
      <c r="T41" s="43"/>
      <c r="U41" s="45">
        <v>-20000</v>
      </c>
      <c r="V41" s="43"/>
      <c r="X41" s="28"/>
      <c r="Y41" s="28">
        <v>190000</v>
      </c>
      <c r="Z41" s="28"/>
      <c r="AB41" s="11"/>
      <c r="AC41" s="12"/>
      <c r="AD41" s="22"/>
    </row>
    <row r="42" spans="2:30" x14ac:dyDescent="0.2">
      <c r="C42" s="50" t="s">
        <v>210</v>
      </c>
      <c r="E42" s="70">
        <f>-'Share value 5-4-16'!H75</f>
        <v>68959.240000000005</v>
      </c>
      <c r="F42" s="78"/>
      <c r="I42" s="70">
        <f>+'Receipts &amp; Payments 2015'!E46-'Receipts &amp; Payments 2015'!J105</f>
        <v>135383.22</v>
      </c>
      <c r="J42" s="78"/>
      <c r="M42" s="2"/>
      <c r="N42" s="78"/>
      <c r="Q42" s="2"/>
      <c r="T42" s="43"/>
      <c r="U42" s="45"/>
      <c r="V42" s="43"/>
      <c r="X42" s="28"/>
      <c r="Y42" s="28"/>
      <c r="Z42" s="28"/>
      <c r="AB42" s="11"/>
      <c r="AC42" s="12"/>
      <c r="AD42" s="22"/>
    </row>
    <row r="43" spans="2:30" ht="13.5" thickBot="1" x14ac:dyDescent="0.25">
      <c r="E43" s="5">
        <f>SUM(E39:E42)</f>
        <v>20213.610000000015</v>
      </c>
      <c r="F43" s="77"/>
      <c r="I43" s="5">
        <f>SUM(I39:I42)</f>
        <v>7782.5499999999884</v>
      </c>
      <c r="J43" s="77"/>
      <c r="M43" s="5">
        <f>SUM(M39:M41)</f>
        <v>45000</v>
      </c>
      <c r="N43" s="77"/>
      <c r="Q43" s="5">
        <f>SUM(Q39:Q41)</f>
        <v>30600</v>
      </c>
      <c r="T43" s="43"/>
      <c r="U43" s="46">
        <f>SUM(U39:U41)</f>
        <v>10000</v>
      </c>
      <c r="V43" s="43"/>
      <c r="X43" s="28"/>
      <c r="Y43" s="29">
        <v>227800</v>
      </c>
      <c r="Z43" s="28"/>
      <c r="AB43" s="11"/>
      <c r="AC43" s="12"/>
      <c r="AD43" s="23">
        <f>SUM(AD39:AD40)</f>
        <v>226619.86</v>
      </c>
    </row>
    <row r="44" spans="2:30" ht="13.5" thickTop="1" x14ac:dyDescent="0.2">
      <c r="M44" s="2"/>
      <c r="Q44" s="2"/>
      <c r="T44" s="43"/>
      <c r="U44" s="47"/>
      <c r="V44" s="43"/>
      <c r="X44" s="28"/>
      <c r="Y44" s="28"/>
      <c r="Z44" s="28"/>
      <c r="AB44" s="11"/>
      <c r="AC44" s="12"/>
      <c r="AD44" s="27"/>
    </row>
    <row r="45" spans="2:30" x14ac:dyDescent="0.2">
      <c r="B45" s="1" t="s">
        <v>57</v>
      </c>
      <c r="M45" s="2"/>
      <c r="N45" s="8"/>
      <c r="Q45" s="2"/>
      <c r="T45" s="43"/>
      <c r="U45" s="47"/>
      <c r="V45" s="43"/>
      <c r="X45" s="28"/>
      <c r="Y45" s="28"/>
      <c r="Z45" s="28"/>
      <c r="AB45" s="11"/>
      <c r="AC45" s="12"/>
      <c r="AD45" s="27"/>
    </row>
    <row r="46" spans="2:30" x14ac:dyDescent="0.2">
      <c r="M46" s="2"/>
      <c r="Q46" s="2"/>
      <c r="T46" s="43"/>
      <c r="U46" s="47"/>
      <c r="V46" s="43"/>
      <c r="X46" s="28"/>
      <c r="Y46" s="28"/>
      <c r="Z46" s="28"/>
      <c r="AB46" s="11"/>
      <c r="AC46" s="12"/>
      <c r="AD46" s="27"/>
    </row>
    <row r="47" spans="2:30" x14ac:dyDescent="0.2">
      <c r="B47" s="1" t="s">
        <v>17</v>
      </c>
      <c r="M47" s="2"/>
      <c r="Q47" s="2"/>
      <c r="T47" s="43"/>
      <c r="U47" s="45"/>
      <c r="V47" s="43"/>
      <c r="X47" s="28"/>
      <c r="Y47" s="28"/>
      <c r="Z47" s="28"/>
      <c r="AB47" s="11"/>
      <c r="AC47" s="11"/>
      <c r="AD47" s="22"/>
    </row>
    <row r="48" spans="2:30" x14ac:dyDescent="0.2">
      <c r="B48" s="1"/>
      <c r="C48" t="s">
        <v>18</v>
      </c>
      <c r="D48" s="50" t="s">
        <v>283</v>
      </c>
      <c r="E48" s="2">
        <f>+I48+E39</f>
        <v>272736</v>
      </c>
      <c r="H48" s="50" t="s">
        <v>58</v>
      </c>
      <c r="I48" s="2">
        <f>180900+I39+828</f>
        <v>242556</v>
      </c>
      <c r="L48" s="50" t="s">
        <v>53</v>
      </c>
      <c r="M48" s="36">
        <f>+M39+Q48</f>
        <v>180900</v>
      </c>
      <c r="N48" s="39">
        <f>+M48/M52</f>
        <v>0.45758674266232213</v>
      </c>
      <c r="O48" s="39"/>
      <c r="P48" s="6" t="s">
        <v>50</v>
      </c>
      <c r="Q48" s="36">
        <f>+Q39+U48</f>
        <v>135900</v>
      </c>
      <c r="R48" s="39">
        <f>+Q48/Q52</f>
        <v>0.4064335287384393</v>
      </c>
      <c r="T48" s="43" t="s">
        <v>43</v>
      </c>
      <c r="U48" s="45">
        <f>+U39+Y48</f>
        <v>105300</v>
      </c>
      <c r="V48" s="43"/>
      <c r="X48" s="28" t="s">
        <v>45</v>
      </c>
      <c r="Y48" s="28">
        <v>75300</v>
      </c>
      <c r="Z48" s="28"/>
      <c r="AB48" s="11"/>
      <c r="AC48" s="11" t="s">
        <v>44</v>
      </c>
      <c r="AD48" s="22">
        <v>37500</v>
      </c>
    </row>
    <row r="49" spans="2:30" x14ac:dyDescent="0.2">
      <c r="B49" s="1"/>
      <c r="C49" t="s">
        <v>19</v>
      </c>
      <c r="E49" s="2">
        <v>3948.01</v>
      </c>
      <c r="I49" s="2">
        <v>7029.57</v>
      </c>
      <c r="M49" s="2">
        <v>7330.3</v>
      </c>
      <c r="N49" s="39">
        <f>+M49/M52</f>
        <v>1.8542001656924378E-2</v>
      </c>
      <c r="O49" s="39"/>
      <c r="Q49" s="2">
        <v>1296.8499999999999</v>
      </c>
      <c r="R49" s="39">
        <f>+Q49/Q52</f>
        <v>3.8784644719973872E-3</v>
      </c>
      <c r="T49" s="43"/>
      <c r="U49" s="45">
        <v>23077.74</v>
      </c>
      <c r="V49" s="43"/>
      <c r="X49" s="28"/>
      <c r="Y49" s="28">
        <v>11259.36</v>
      </c>
      <c r="Z49" s="28"/>
      <c r="AB49" s="11"/>
      <c r="AC49" s="11"/>
      <c r="AD49" s="22">
        <v>189119.86</v>
      </c>
    </row>
    <row r="50" spans="2:30" x14ac:dyDescent="0.2">
      <c r="B50" s="1"/>
      <c r="C50" t="s">
        <v>36</v>
      </c>
      <c r="E50" s="2">
        <v>348.35</v>
      </c>
      <c r="I50" s="2">
        <f>+'Receipts &amp; Payments 2015'!F107</f>
        <v>6164.37</v>
      </c>
      <c r="M50" s="2">
        <v>664.17</v>
      </c>
      <c r="N50" s="39">
        <f>+M50/M52</f>
        <v>1.6800187223550828E-3</v>
      </c>
      <c r="O50" s="39"/>
      <c r="Q50" s="2">
        <v>1018.18</v>
      </c>
      <c r="R50" s="39">
        <f>+Q50/Q52</f>
        <v>3.0450514370191618E-3</v>
      </c>
      <c r="T50" s="43"/>
      <c r="U50" s="45">
        <f>11520.16+5900.23</f>
        <v>17420.39</v>
      </c>
      <c r="V50" s="43"/>
      <c r="X50" s="28"/>
      <c r="Y50" s="28">
        <v>4782.84</v>
      </c>
      <c r="Z50" s="28"/>
      <c r="AB50" s="11"/>
      <c r="AC50" s="11"/>
      <c r="AD50" s="22"/>
    </row>
    <row r="51" spans="2:30" x14ac:dyDescent="0.2">
      <c r="B51" s="1"/>
      <c r="C51" t="s">
        <v>37</v>
      </c>
      <c r="E51" s="2">
        <f>+'Share value 5-4-16'!H16</f>
        <v>129364.21556249999</v>
      </c>
      <c r="I51" s="2">
        <f>+'Receipts &amp; Payments 2015'!F108</f>
        <v>155629.09</v>
      </c>
      <c r="M51" s="51">
        <v>206440.41</v>
      </c>
      <c r="N51" s="39">
        <f>+M51/M52</f>
        <v>0.52219123695839842</v>
      </c>
      <c r="O51" s="39"/>
      <c r="Q51" s="2">
        <v>196156.99</v>
      </c>
      <c r="R51" s="39">
        <f>+Q51/Q52</f>
        <v>0.58664295535254407</v>
      </c>
      <c r="T51" s="43"/>
      <c r="U51" s="45">
        <v>152034.15</v>
      </c>
      <c r="V51" s="43"/>
      <c r="X51" s="28"/>
      <c r="Y51" s="28">
        <v>187229.13</v>
      </c>
      <c r="Z51" s="28"/>
      <c r="AB51" s="11"/>
      <c r="AC51" s="11"/>
      <c r="AD51" s="22"/>
    </row>
    <row r="52" spans="2:30" ht="13.5" thickBot="1" x14ac:dyDescent="0.25">
      <c r="B52" s="1"/>
      <c r="E52" s="5">
        <f>SUM(E48:E51)</f>
        <v>406396.57556249999</v>
      </c>
      <c r="I52" s="5">
        <f>SUM(I48:I51)</f>
        <v>411379.03</v>
      </c>
      <c r="M52" s="5">
        <f>SUM(M48:M51)</f>
        <v>395334.88</v>
      </c>
      <c r="Q52" s="5">
        <f>SUM(Q48:Q51)</f>
        <v>334372.02</v>
      </c>
      <c r="T52" s="43"/>
      <c r="U52" s="46">
        <f>SUM(U48:U51)</f>
        <v>297832.28000000003</v>
      </c>
      <c r="V52" s="43"/>
      <c r="X52" s="28"/>
      <c r="Y52" s="29">
        <v>278571.33</v>
      </c>
      <c r="Z52" s="28"/>
      <c r="AB52" s="11"/>
      <c r="AC52" s="11"/>
      <c r="AD52" s="23">
        <f>SUM(AD48:AD51)</f>
        <v>226619.86</v>
      </c>
    </row>
    <row r="53" spans="2:30" ht="13.5" thickTop="1" x14ac:dyDescent="0.2">
      <c r="B53" s="1" t="s">
        <v>20</v>
      </c>
      <c r="E53" s="2"/>
      <c r="I53" s="2"/>
      <c r="M53" s="2"/>
      <c r="Q53" s="2"/>
      <c r="T53" s="43"/>
      <c r="U53" s="45"/>
      <c r="V53" s="43"/>
      <c r="X53" s="28"/>
      <c r="Y53" s="28"/>
      <c r="Z53" s="28"/>
      <c r="AB53" s="11"/>
      <c r="AC53" s="11"/>
      <c r="AD53" s="22"/>
    </row>
    <row r="54" spans="2:30" ht="13.5" thickBot="1" x14ac:dyDescent="0.25">
      <c r="B54" s="1"/>
      <c r="C54" t="s">
        <v>21</v>
      </c>
      <c r="E54" s="2">
        <v>0</v>
      </c>
      <c r="I54" s="2">
        <f>+I16+I17</f>
        <v>1950</v>
      </c>
      <c r="M54" s="2">
        <f>+M16+M17</f>
        <v>1527.5</v>
      </c>
      <c r="Q54" s="2"/>
      <c r="T54" s="43"/>
      <c r="U54" s="45">
        <f>+U16+U17</f>
        <v>5238.75</v>
      </c>
      <c r="V54" s="43"/>
      <c r="X54" s="28"/>
      <c r="Y54" s="28">
        <v>0</v>
      </c>
      <c r="Z54" s="28"/>
      <c r="AB54" s="11"/>
      <c r="AC54" s="11"/>
      <c r="AD54" s="23">
        <v>7284.25</v>
      </c>
    </row>
    <row r="55" spans="2:30" ht="13.5" thickTop="1" x14ac:dyDescent="0.2">
      <c r="B55" s="1" t="s">
        <v>22</v>
      </c>
      <c r="E55" s="2"/>
      <c r="F55" s="32" t="s">
        <v>104</v>
      </c>
      <c r="I55" s="2"/>
      <c r="J55" s="32" t="s">
        <v>104</v>
      </c>
      <c r="M55" s="2"/>
      <c r="N55" s="32" t="s">
        <v>104</v>
      </c>
      <c r="Q55" s="2"/>
      <c r="T55" s="43"/>
      <c r="U55" s="45"/>
      <c r="V55" s="43"/>
      <c r="X55" s="28"/>
      <c r="Y55" s="28"/>
      <c r="Z55" s="28"/>
      <c r="AB55" s="11"/>
      <c r="AC55" s="11"/>
      <c r="AD55" s="22"/>
    </row>
    <row r="56" spans="2:30" ht="13.5" thickBot="1" x14ac:dyDescent="0.25">
      <c r="B56" s="1"/>
      <c r="C56" t="s">
        <v>23</v>
      </c>
      <c r="E56" s="5">
        <v>1000</v>
      </c>
      <c r="F56" s="77">
        <f>+E56+E49+E50</f>
        <v>5296.3600000000006</v>
      </c>
      <c r="I56" s="5">
        <v>1000</v>
      </c>
      <c r="J56" s="77">
        <f>+I56+I49+I50</f>
        <v>14193.939999999999</v>
      </c>
      <c r="M56" s="5">
        <v>1000</v>
      </c>
      <c r="N56" s="77">
        <f>+M56+M49+M50</f>
        <v>8994.4699999999993</v>
      </c>
      <c r="Q56" s="5">
        <v>1000</v>
      </c>
      <c r="T56" s="43"/>
      <c r="U56" s="46">
        <f>+AD56</f>
        <v>1000</v>
      </c>
      <c r="V56" s="43"/>
      <c r="X56" s="28"/>
      <c r="Y56" s="28">
        <v>1000</v>
      </c>
      <c r="Z56" s="28"/>
      <c r="AB56" s="11"/>
      <c r="AC56" s="11"/>
      <c r="AD56" s="23">
        <v>1000</v>
      </c>
    </row>
    <row r="57" spans="2:30" ht="13.5" thickTop="1" x14ac:dyDescent="0.2">
      <c r="B57" s="1" t="s">
        <v>24</v>
      </c>
      <c r="E57" s="2"/>
      <c r="I57" s="2"/>
      <c r="M57" s="2"/>
      <c r="Q57" s="2"/>
      <c r="T57" s="43"/>
      <c r="U57" s="45"/>
      <c r="V57" s="43"/>
      <c r="X57" s="28"/>
      <c r="Y57" s="28"/>
      <c r="Z57" s="28"/>
      <c r="AB57" s="11"/>
      <c r="AC57" s="11"/>
      <c r="AD57" s="22"/>
    </row>
    <row r="58" spans="2:30" x14ac:dyDescent="0.2">
      <c r="B58" s="1"/>
      <c r="C58" t="s">
        <v>25</v>
      </c>
      <c r="E58" s="2">
        <v>0</v>
      </c>
      <c r="I58" s="2"/>
      <c r="M58" s="2"/>
      <c r="Q58" s="2"/>
      <c r="T58" s="43"/>
      <c r="U58" s="45">
        <v>0</v>
      </c>
      <c r="V58" s="43"/>
      <c r="X58" s="28"/>
      <c r="Y58" s="28">
        <v>0</v>
      </c>
      <c r="Z58" s="28"/>
      <c r="AB58" s="11"/>
      <c r="AC58" s="11">
        <v>-279.06</v>
      </c>
      <c r="AD58" s="22"/>
    </row>
    <row r="59" spans="2:30" ht="13.5" thickBot="1" x14ac:dyDescent="0.25">
      <c r="B59" s="1"/>
      <c r="C59" t="s">
        <v>26</v>
      </c>
      <c r="E59" s="2">
        <v>-5000</v>
      </c>
      <c r="I59" s="2"/>
      <c r="M59" s="2"/>
      <c r="Q59" s="2"/>
      <c r="T59" s="43"/>
      <c r="U59" s="45">
        <v>0</v>
      </c>
      <c r="V59" s="43"/>
      <c r="X59" s="28"/>
      <c r="Y59" s="28">
        <v>0</v>
      </c>
      <c r="Z59" s="28"/>
      <c r="AB59" s="11"/>
      <c r="AC59" s="11">
        <v>-3000</v>
      </c>
      <c r="AD59" s="23">
        <f>+AC58+AC59</f>
        <v>-3279.06</v>
      </c>
    </row>
    <row r="60" spans="2:30" ht="13.5" thickTop="1" x14ac:dyDescent="0.2">
      <c r="B60" s="1"/>
      <c r="C60" s="50" t="s">
        <v>102</v>
      </c>
      <c r="E60" s="2">
        <v>-180</v>
      </c>
      <c r="I60" s="2">
        <v>-7200</v>
      </c>
      <c r="M60" s="2"/>
      <c r="Q60" s="2"/>
      <c r="T60" s="43"/>
      <c r="U60" s="45"/>
      <c r="V60" s="43"/>
      <c r="X60" s="28"/>
      <c r="Y60" s="28"/>
      <c r="Z60" s="28"/>
      <c r="AB60" s="11"/>
      <c r="AC60" s="11"/>
      <c r="AD60" s="22"/>
    </row>
    <row r="61" spans="2:30" x14ac:dyDescent="0.2">
      <c r="B61" s="1"/>
      <c r="E61" s="2"/>
      <c r="I61" s="2"/>
      <c r="M61" s="2"/>
      <c r="Q61" s="2"/>
      <c r="T61" s="43"/>
      <c r="U61" s="45"/>
      <c r="V61" s="43"/>
      <c r="X61" s="28"/>
      <c r="Y61" s="28"/>
      <c r="Z61" s="28"/>
      <c r="AB61" s="11"/>
      <c r="AC61" s="11"/>
      <c r="AD61" s="22"/>
    </row>
    <row r="62" spans="2:30" ht="13.5" thickBot="1" x14ac:dyDescent="0.25">
      <c r="B62" s="1" t="s">
        <v>27</v>
      </c>
      <c r="E62" s="5">
        <f>+E52+E56+E54+E59+E58+E60</f>
        <v>402216.57556249999</v>
      </c>
      <c r="I62" s="5">
        <f>+I52+I56+I54+I59+I58+I60</f>
        <v>407129.03</v>
      </c>
      <c r="M62" s="61">
        <f>+M52+M56+M54+M59+M58</f>
        <v>397862.38</v>
      </c>
      <c r="Q62" s="5">
        <f>+Q52+Q56+Q54+Q59+Q58</f>
        <v>335372.02</v>
      </c>
      <c r="T62" s="43"/>
      <c r="U62" s="46">
        <f>+U52+U56+U54+U59</f>
        <v>304071.03000000003</v>
      </c>
      <c r="V62" s="43"/>
      <c r="X62" s="28"/>
      <c r="Y62" s="53">
        <f>+Y52+Y56+Y54+Y59</f>
        <v>279571.33</v>
      </c>
      <c r="Z62" s="28"/>
      <c r="AB62" s="11"/>
      <c r="AC62" s="11"/>
      <c r="AD62" s="23">
        <f>+AD52+AD54+AD56+AD59</f>
        <v>231625.05</v>
      </c>
    </row>
    <row r="63" spans="2:30" ht="13.5" thickTop="1" x14ac:dyDescent="0.2">
      <c r="T63" s="43"/>
      <c r="U63" s="43"/>
      <c r="V63" s="43"/>
      <c r="X63" s="28"/>
      <c r="Y63" s="28"/>
      <c r="Z63" s="28"/>
      <c r="AB63" s="11"/>
      <c r="AC63" s="11"/>
      <c r="AD63" s="22"/>
    </row>
    <row r="64" spans="2:30" x14ac:dyDescent="0.2">
      <c r="E64" s="8"/>
      <c r="F64" s="8"/>
      <c r="T64" s="43"/>
      <c r="U64" s="43"/>
      <c r="V64" s="43"/>
      <c r="X64" s="28"/>
      <c r="Y64" s="28"/>
      <c r="Z64" s="28"/>
      <c r="AB64" s="11"/>
      <c r="AC64" s="11"/>
      <c r="AD64" s="22"/>
    </row>
    <row r="65" spans="2:30" x14ac:dyDescent="0.2">
      <c r="T65" s="43"/>
      <c r="U65" s="43"/>
      <c r="V65" s="43"/>
      <c r="X65" s="28"/>
      <c r="Y65" s="28"/>
      <c r="Z65" s="28"/>
      <c r="AB65" s="11"/>
      <c r="AC65" s="12"/>
      <c r="AD65" s="22"/>
    </row>
    <row r="66" spans="2:30" x14ac:dyDescent="0.2">
      <c r="B66" s="1" t="s">
        <v>0</v>
      </c>
      <c r="T66" s="43"/>
      <c r="U66" s="43"/>
      <c r="V66" s="43"/>
      <c r="X66" s="28"/>
      <c r="Y66" s="28"/>
      <c r="Z66" s="28"/>
      <c r="AB66" s="11"/>
      <c r="AC66" s="12"/>
      <c r="AD66" s="22"/>
    </row>
    <row r="67" spans="2:30" x14ac:dyDescent="0.2">
      <c r="B67" s="1" t="s">
        <v>279</v>
      </c>
      <c r="T67" s="43"/>
      <c r="U67" s="43"/>
      <c r="V67" s="43"/>
      <c r="X67" s="28"/>
      <c r="Y67" s="28"/>
      <c r="Z67" s="28"/>
      <c r="AB67" s="11"/>
      <c r="AC67" s="12"/>
      <c r="AD67" s="22"/>
    </row>
    <row r="68" spans="2:30" x14ac:dyDescent="0.2">
      <c r="B68" s="1"/>
      <c r="D68" s="7" t="s">
        <v>28</v>
      </c>
      <c r="E68" s="3" t="s">
        <v>29</v>
      </c>
      <c r="F68" s="7" t="s">
        <v>30</v>
      </c>
      <c r="H68" s="7" t="s">
        <v>28</v>
      </c>
      <c r="I68" s="3" t="s">
        <v>29</v>
      </c>
      <c r="J68" s="7" t="s">
        <v>30</v>
      </c>
      <c r="L68" s="7" t="s">
        <v>28</v>
      </c>
      <c r="M68" s="3" t="s">
        <v>29</v>
      </c>
      <c r="N68" s="7" t="s">
        <v>30</v>
      </c>
      <c r="O68" s="7"/>
      <c r="P68" s="7" t="s">
        <v>28</v>
      </c>
      <c r="Q68" s="3" t="s">
        <v>29</v>
      </c>
      <c r="R68" s="7" t="s">
        <v>30</v>
      </c>
      <c r="S68" s="7"/>
      <c r="T68" s="44" t="s">
        <v>28</v>
      </c>
      <c r="U68" s="48" t="s">
        <v>29</v>
      </c>
      <c r="V68" s="44" t="s">
        <v>30</v>
      </c>
      <c r="W68" s="35"/>
      <c r="X68" s="30" t="s">
        <v>28</v>
      </c>
      <c r="Y68" s="30" t="s">
        <v>29</v>
      </c>
      <c r="Z68" s="30" t="s">
        <v>30</v>
      </c>
      <c r="AA68" s="32"/>
      <c r="AB68" s="16" t="s">
        <v>28</v>
      </c>
      <c r="AC68" s="16" t="s">
        <v>29</v>
      </c>
      <c r="AD68" s="13" t="s">
        <v>30</v>
      </c>
    </row>
    <row r="69" spans="2:30" x14ac:dyDescent="0.2">
      <c r="B69" s="1"/>
      <c r="D69" s="1"/>
      <c r="E69" s="1"/>
      <c r="F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43"/>
      <c r="U69" s="43"/>
      <c r="V69" s="43"/>
      <c r="X69" s="28"/>
      <c r="Y69" s="28"/>
      <c r="Z69" s="28"/>
      <c r="AB69" s="11"/>
      <c r="AC69" s="11"/>
      <c r="AD69" s="22"/>
    </row>
    <row r="70" spans="2:30" x14ac:dyDescent="0.2">
      <c r="B70" s="1" t="s">
        <v>31</v>
      </c>
      <c r="D70" s="4">
        <f>+E10+E13+E16</f>
        <v>1562.5</v>
      </c>
      <c r="E70" s="4">
        <f>+E11+E14+E17</f>
        <v>7812.5</v>
      </c>
      <c r="F70" s="4">
        <f>SUM(D70:E70)</f>
        <v>9375</v>
      </c>
      <c r="H70" s="4">
        <f>+I10+I13+I16</f>
        <v>1562.5</v>
      </c>
      <c r="I70" s="4">
        <f>+I11+I14+I17</f>
        <v>8187.5</v>
      </c>
      <c r="J70" s="4">
        <f>SUM(H70:I70)</f>
        <v>9750</v>
      </c>
      <c r="L70" s="4">
        <f>+M10+M13+M16</f>
        <v>150</v>
      </c>
      <c r="M70" s="4">
        <f>+M11+M14+M17</f>
        <v>7487.5</v>
      </c>
      <c r="N70" s="4">
        <f>SUM(L70:M70)</f>
        <v>7637.5</v>
      </c>
      <c r="O70" s="4"/>
      <c r="P70" s="4">
        <f>+Q10+Q13+Q16</f>
        <v>4375</v>
      </c>
      <c r="Q70" s="4">
        <f>+Q11+Q14+Q17</f>
        <v>4375</v>
      </c>
      <c r="R70" s="4">
        <f>SUM(P70:Q70)</f>
        <v>8750</v>
      </c>
      <c r="S70" s="4"/>
      <c r="T70" s="45">
        <f>+U10+U13+U16</f>
        <v>22556.28</v>
      </c>
      <c r="U70" s="45">
        <f>+U11+U14+U17</f>
        <v>9693.75</v>
      </c>
      <c r="V70" s="45">
        <f>SUM(T70:U70)</f>
        <v>32250.03</v>
      </c>
      <c r="W70" s="36"/>
      <c r="X70" s="28">
        <v>41200.04</v>
      </c>
      <c r="Y70" s="28">
        <v>8593.75</v>
      </c>
      <c r="Z70" s="28">
        <v>49793.79</v>
      </c>
      <c r="AB70" s="11">
        <v>201588.39</v>
      </c>
      <c r="AC70" s="11">
        <v>34680.25</v>
      </c>
      <c r="AD70" s="22">
        <v>236268.64</v>
      </c>
    </row>
    <row r="71" spans="2:30" x14ac:dyDescent="0.2">
      <c r="B71" s="1"/>
      <c r="D71" s="4"/>
      <c r="E71" s="4"/>
      <c r="F71" s="4"/>
      <c r="H71" s="4"/>
      <c r="I71" s="4"/>
      <c r="J71" s="4"/>
      <c r="L71" s="4"/>
      <c r="M71" s="4"/>
      <c r="N71" s="4"/>
      <c r="O71" s="4"/>
      <c r="P71" s="4"/>
      <c r="Q71" s="4"/>
      <c r="R71" s="4"/>
      <c r="S71" s="4"/>
      <c r="T71" s="45"/>
      <c r="U71" s="45"/>
      <c r="V71" s="45"/>
      <c r="W71" s="36"/>
      <c r="X71" s="28"/>
      <c r="Y71" s="28"/>
      <c r="Z71" s="28"/>
      <c r="AB71" s="11"/>
      <c r="AC71" s="11"/>
      <c r="AD71" s="22"/>
    </row>
    <row r="72" spans="2:30" x14ac:dyDescent="0.2">
      <c r="B72" s="1" t="s">
        <v>32</v>
      </c>
      <c r="D72" s="4">
        <f>+E28*H79</f>
        <v>-6129.3895325117046</v>
      </c>
      <c r="E72" s="4">
        <f>+E28*I79</f>
        <v>-1767.2804674882964</v>
      </c>
      <c r="F72" s="4">
        <f>SUM(D72:E72)</f>
        <v>-7896.670000000001</v>
      </c>
      <c r="H72" s="4">
        <f>+I28*L79</f>
        <v>4754.967385041833</v>
      </c>
      <c r="I72" s="4">
        <f>+I28*M79</f>
        <v>1228.7296556481733</v>
      </c>
      <c r="J72" s="4">
        <f>SUM(H72:I72)</f>
        <v>5983.6970406900064</v>
      </c>
      <c r="L72" s="4">
        <f>+M28*P79</f>
        <v>49630.279988056172</v>
      </c>
      <c r="M72" s="4">
        <f>+M28*Q79</f>
        <v>11430.560011943831</v>
      </c>
      <c r="N72" s="4">
        <f>SUM(L72:M72)</f>
        <v>61060.840000000004</v>
      </c>
      <c r="O72" s="4"/>
      <c r="P72" s="4">
        <f>+Q28*T79</f>
        <v>23741.717159857872</v>
      </c>
      <c r="Q72" s="4">
        <f>+Q28*U79</f>
        <v>5052.3828401421288</v>
      </c>
      <c r="R72" s="4">
        <f>SUM(P72:Q72)</f>
        <v>28794.1</v>
      </c>
      <c r="S72" s="4"/>
      <c r="T72" s="45">
        <f>+U28*X79</f>
        <v>-1307.42233774854</v>
      </c>
      <c r="U72" s="45">
        <f>+U28*Y79</f>
        <v>-243.56766225146001</v>
      </c>
      <c r="V72" s="45">
        <f>SUM(T72:U72)</f>
        <v>-1550.99</v>
      </c>
      <c r="W72" s="36"/>
      <c r="X72" s="28">
        <v>3443.1885000000011</v>
      </c>
      <c r="Y72" s="28">
        <v>607.6215000000002</v>
      </c>
      <c r="Z72" s="28">
        <v>4050.81</v>
      </c>
      <c r="AB72" s="11">
        <v>129.59511070576272</v>
      </c>
      <c r="AC72" s="11">
        <v>22.294889294237265</v>
      </c>
      <c r="AD72" s="22">
        <v>151.88999999999999</v>
      </c>
    </row>
    <row r="73" spans="2:30" x14ac:dyDescent="0.2">
      <c r="B73" s="1"/>
      <c r="D73" s="4"/>
      <c r="E73" s="4"/>
      <c r="F73" s="4"/>
      <c r="H73" s="4"/>
      <c r="I73" s="4"/>
      <c r="J73" s="4"/>
      <c r="L73" s="4"/>
      <c r="M73" s="4"/>
      <c r="N73" s="4"/>
      <c r="O73" s="4"/>
      <c r="P73" s="4"/>
      <c r="Q73" s="4"/>
      <c r="R73" s="4"/>
      <c r="S73" s="4"/>
      <c r="T73" s="45"/>
      <c r="U73" s="45"/>
      <c r="V73" s="45"/>
      <c r="W73" s="36"/>
      <c r="X73" s="28"/>
      <c r="Y73" s="28"/>
      <c r="Z73" s="28"/>
      <c r="AB73" s="11"/>
      <c r="AC73" s="11"/>
      <c r="AD73" s="22"/>
    </row>
    <row r="74" spans="2:30" x14ac:dyDescent="0.2">
      <c r="B74" s="1"/>
      <c r="D74" s="4"/>
      <c r="E74" s="4"/>
      <c r="F74" s="4"/>
      <c r="H74" s="4"/>
      <c r="I74" s="4"/>
      <c r="J74" s="4"/>
      <c r="L74" s="4"/>
      <c r="M74" s="4"/>
      <c r="N74" s="4"/>
      <c r="O74" s="4"/>
      <c r="P74" s="4"/>
      <c r="Q74" s="4"/>
      <c r="R74" s="4"/>
      <c r="S74" s="4"/>
      <c r="T74" s="45"/>
      <c r="U74" s="45"/>
      <c r="V74" s="45"/>
      <c r="W74" s="36"/>
      <c r="X74" s="28"/>
      <c r="Y74" s="28"/>
      <c r="Z74" s="28"/>
      <c r="AB74" s="11"/>
      <c r="AC74" s="11"/>
      <c r="AD74" s="22"/>
    </row>
    <row r="75" spans="2:30" x14ac:dyDescent="0.2">
      <c r="B75" s="1" t="s">
        <v>33</v>
      </c>
      <c r="D75" s="4">
        <f>+E36</f>
        <v>6390.7800000000007</v>
      </c>
      <c r="E75" s="4">
        <v>0</v>
      </c>
      <c r="F75" s="4">
        <f>SUM(D75:E75)</f>
        <v>6390.7800000000007</v>
      </c>
      <c r="H75" s="4">
        <f>+I36</f>
        <v>6467.05</v>
      </c>
      <c r="I75" s="4">
        <v>0</v>
      </c>
      <c r="J75" s="4">
        <f>SUM(H75:I75)</f>
        <v>6467.05</v>
      </c>
      <c r="L75" s="4">
        <f>+M36</f>
        <v>6207.98</v>
      </c>
      <c r="M75" s="4">
        <v>0</v>
      </c>
      <c r="N75" s="4">
        <f>SUM(L75:M75)</f>
        <v>6207.98</v>
      </c>
      <c r="O75" s="4"/>
      <c r="P75" s="4">
        <f>+Q36</f>
        <v>6243.1100000000006</v>
      </c>
      <c r="Q75" s="4">
        <v>0</v>
      </c>
      <c r="R75" s="4">
        <f>SUM(P75:Q75)</f>
        <v>6243.1100000000006</v>
      </c>
      <c r="S75" s="4"/>
      <c r="T75" s="45">
        <f>+U36</f>
        <v>6199.34</v>
      </c>
      <c r="U75" s="45">
        <v>0</v>
      </c>
      <c r="V75" s="45">
        <f>SUM(T75:U75)</f>
        <v>6199.34</v>
      </c>
      <c r="W75" s="36"/>
      <c r="X75" s="28">
        <v>5898.32</v>
      </c>
      <c r="Y75" s="28"/>
      <c r="Z75" s="28">
        <v>5898.32</v>
      </c>
      <c r="AB75" s="11">
        <v>4795.4799999999996</v>
      </c>
      <c r="AC75" s="11">
        <v>0</v>
      </c>
      <c r="AD75" s="22">
        <v>4795.4799999999996</v>
      </c>
    </row>
    <row r="76" spans="2:30" x14ac:dyDescent="0.2">
      <c r="B76" s="1"/>
      <c r="D76" s="4"/>
      <c r="E76" s="4"/>
      <c r="F76" s="4"/>
      <c r="H76" s="4"/>
      <c r="I76" s="4"/>
      <c r="J76" s="4"/>
      <c r="L76" s="4"/>
      <c r="M76" s="4"/>
      <c r="N76" s="4"/>
      <c r="O76" s="4"/>
      <c r="P76" s="4"/>
      <c r="Q76" s="4"/>
      <c r="R76" s="4"/>
      <c r="S76" s="4"/>
      <c r="T76" s="45"/>
      <c r="U76" s="45"/>
      <c r="V76" s="45"/>
      <c r="W76" s="36"/>
      <c r="X76" s="28"/>
      <c r="Y76" s="28"/>
      <c r="Z76" s="28"/>
      <c r="AB76" s="11"/>
      <c r="AC76" s="11"/>
      <c r="AD76" s="22"/>
    </row>
    <row r="77" spans="2:30" x14ac:dyDescent="0.2">
      <c r="D77" s="4"/>
      <c r="E77" s="4"/>
      <c r="F77" s="4"/>
      <c r="H77" s="4"/>
      <c r="I77" s="4"/>
      <c r="J77" s="4"/>
      <c r="L77" s="4"/>
      <c r="M77" s="4"/>
      <c r="N77" s="4"/>
      <c r="O77" s="4"/>
      <c r="P77" s="4"/>
      <c r="Q77" s="4"/>
      <c r="R77" s="4"/>
      <c r="S77" s="4"/>
      <c r="T77" s="45"/>
      <c r="U77" s="45"/>
      <c r="V77" s="45"/>
      <c r="W77" s="36"/>
      <c r="X77" s="28"/>
      <c r="Y77" s="28"/>
      <c r="Z77" s="28"/>
      <c r="AB77" s="11"/>
      <c r="AC77" s="11"/>
      <c r="AD77" s="22"/>
    </row>
    <row r="78" spans="2:30" ht="13.5" thickBot="1" x14ac:dyDescent="0.25">
      <c r="B78" s="1" t="s">
        <v>278</v>
      </c>
      <c r="D78" s="5">
        <f>+H78+D70+D72-D75</f>
        <v>305055.58627340139</v>
      </c>
      <c r="E78" s="5">
        <f>+I78+E70+E72-E75</f>
        <v>97160.990767288618</v>
      </c>
      <c r="F78" s="5">
        <f>SUM(D78:E78)</f>
        <v>402216.57704069</v>
      </c>
      <c r="H78" s="5">
        <f>+L78+H70+H72-H75</f>
        <v>316013.25580591313</v>
      </c>
      <c r="I78" s="5">
        <f>+M78+I70+I72-I75</f>
        <v>91115.771234776912</v>
      </c>
      <c r="J78" s="5">
        <f>SUM(H78:I78)</f>
        <v>407129.02704069007</v>
      </c>
      <c r="L78" s="5">
        <f>+P78+L70+L72-L75</f>
        <v>316162.8384208713</v>
      </c>
      <c r="M78" s="5">
        <f>+Q78+M70+M72-M75</f>
        <v>81699.541579128738</v>
      </c>
      <c r="N78" s="5">
        <f>SUM(L78:M78)</f>
        <v>397862.38</v>
      </c>
      <c r="O78" s="5"/>
      <c r="P78" s="5">
        <f>+T78+P70+P72-P75</f>
        <v>272590.53843281511</v>
      </c>
      <c r="Q78" s="5">
        <f>+U78+Q70+Q72-Q75</f>
        <v>62781.481567184906</v>
      </c>
      <c r="R78" s="5">
        <f>SUM(P78:Q78)</f>
        <v>335372.02</v>
      </c>
      <c r="S78" s="5"/>
      <c r="T78" s="46">
        <f>+X78+T70+T72-T75</f>
        <v>250716.93127295721</v>
      </c>
      <c r="U78" s="46">
        <f>+Y78+U70+U72-U75</f>
        <v>53354.09872704278</v>
      </c>
      <c r="V78" s="46">
        <f>SUM(T78:U78)</f>
        <v>304071.02999999997</v>
      </c>
      <c r="W78" s="37"/>
      <c r="X78" s="29">
        <v>235667.41361070576</v>
      </c>
      <c r="Y78" s="40">
        <v>43903.916389294238</v>
      </c>
      <c r="Z78" s="29">
        <v>279571.33</v>
      </c>
      <c r="AA78" s="41"/>
      <c r="AB78" s="42">
        <v>196922.50511070577</v>
      </c>
      <c r="AC78" s="42">
        <v>34702.544889294237</v>
      </c>
      <c r="AD78" s="23">
        <v>231625.05</v>
      </c>
    </row>
    <row r="79" spans="2:30" ht="13.5" thickTop="1" x14ac:dyDescent="0.2">
      <c r="D79" s="25">
        <f>+D78/F78</f>
        <v>0.75843613537226395</v>
      </c>
      <c r="E79" s="25">
        <f>+E78/F78</f>
        <v>0.24156386462773607</v>
      </c>
      <c r="F79" s="4">
        <f>+F78-J78</f>
        <v>-4912.4500000000698</v>
      </c>
      <c r="H79" s="25">
        <f>+H78/J78</f>
        <v>0.77619927545556588</v>
      </c>
      <c r="I79" s="25">
        <f>+I78/J78</f>
        <v>0.22380072454443403</v>
      </c>
      <c r="J79" s="4">
        <f>+J78-N78</f>
        <v>9266.6470406900626</v>
      </c>
      <c r="L79" s="25">
        <f>+L78/N78</f>
        <v>0.79465376550773992</v>
      </c>
      <c r="M79" s="25">
        <f>+M78/N78</f>
        <v>0.20534623449226019</v>
      </c>
      <c r="N79" s="4">
        <f>+N78-R78</f>
        <v>62490.359999999986</v>
      </c>
      <c r="O79" s="4"/>
      <c r="P79" s="25">
        <f>+P78/R78</f>
        <v>0.81280047880206319</v>
      </c>
      <c r="Q79" s="25">
        <f>+Q78/R78</f>
        <v>0.18719952119793687</v>
      </c>
      <c r="R79" s="4">
        <f>+R78-V78</f>
        <v>31300.990000000049</v>
      </c>
      <c r="S79" s="4"/>
      <c r="T79" s="49">
        <f>+T78/V78</f>
        <v>0.82453409413240464</v>
      </c>
      <c r="U79" s="49">
        <f>+U78/V78</f>
        <v>0.17546590586759542</v>
      </c>
      <c r="V79" s="45">
        <f>+V78-Z78</f>
        <v>24499.699999999953</v>
      </c>
      <c r="W79" s="36"/>
      <c r="X79" s="31">
        <f>+X78/Z78</f>
        <v>0.84295987578807074</v>
      </c>
      <c r="Y79" s="31">
        <f>+Y78/Z78</f>
        <v>0.15704012421192914</v>
      </c>
      <c r="Z79" s="28">
        <v>47946.28</v>
      </c>
      <c r="AB79" s="24">
        <f>+AB78/AD78</f>
        <v>0.85017792812437931</v>
      </c>
      <c r="AC79" s="24">
        <f>+AC78/AD78</f>
        <v>0.14982207187562069</v>
      </c>
      <c r="AD79" s="20"/>
    </row>
    <row r="80" spans="2:30" x14ac:dyDescent="0.2">
      <c r="E80" s="50" t="s">
        <v>103</v>
      </c>
      <c r="F80" s="58">
        <f>+F79/J78</f>
        <v>-1.2066076535262862E-2</v>
      </c>
      <c r="I80" s="50" t="s">
        <v>103</v>
      </c>
      <c r="J80" s="58">
        <f>+J79/N78</f>
        <v>2.3291086331635735E-2</v>
      </c>
      <c r="M80" s="50" t="s">
        <v>103</v>
      </c>
      <c r="N80" s="58">
        <f>+N79/R78</f>
        <v>0.18633146557664526</v>
      </c>
      <c r="Q80" s="50" t="s">
        <v>103</v>
      </c>
      <c r="R80" s="58">
        <f>+R79/V78</f>
        <v>0.10293973089116727</v>
      </c>
      <c r="U80" s="50" t="s">
        <v>103</v>
      </c>
      <c r="V80" s="58">
        <f>+V79/Z78</f>
        <v>8.7633091705075591E-2</v>
      </c>
      <c r="X80" s="8"/>
      <c r="Y80" s="50" t="s">
        <v>103</v>
      </c>
      <c r="Z80" s="58">
        <f>+Z79/AD78</f>
        <v>0.20699954517009278</v>
      </c>
    </row>
    <row r="81" spans="2:30" x14ac:dyDescent="0.2">
      <c r="B81" s="1" t="s">
        <v>277</v>
      </c>
      <c r="N81" s="8">
        <f>+M62-N78</f>
        <v>0</v>
      </c>
      <c r="O81" s="8"/>
      <c r="R81" s="8">
        <f>+Q62-R78</f>
        <v>0</v>
      </c>
      <c r="V81" s="38">
        <f>+U62-V78</f>
        <v>0</v>
      </c>
      <c r="W81" s="38"/>
      <c r="Y81" s="8"/>
    </row>
    <row r="82" spans="2:30" x14ac:dyDescent="0.2">
      <c r="B82" t="s">
        <v>59</v>
      </c>
      <c r="F82" s="8">
        <f>+$AD$8</f>
        <v>196482.89</v>
      </c>
      <c r="J82" s="8">
        <f>+$AD$8</f>
        <v>196482.89</v>
      </c>
      <c r="N82" s="8">
        <f>+$AD$8</f>
        <v>196482.89</v>
      </c>
      <c r="R82" s="8">
        <f>+$AD$8</f>
        <v>196482.89</v>
      </c>
      <c r="V82" s="8">
        <f>+$AD$8</f>
        <v>196482.89</v>
      </c>
      <c r="Z82" s="8">
        <f>+$AD$8</f>
        <v>196482.89</v>
      </c>
      <c r="AD82" s="8">
        <f>+$AD$8</f>
        <v>196482.89</v>
      </c>
    </row>
    <row r="83" spans="2:30" x14ac:dyDescent="0.2">
      <c r="B83" t="s">
        <v>60</v>
      </c>
      <c r="F83" s="8">
        <f>+J83+F70</f>
        <v>157342.07</v>
      </c>
      <c r="J83" s="8">
        <f>+H70+I70+L70+M70+P70+Q70+T70+U70+X70+Y70+AB70+AC70-J82</f>
        <v>147967.07</v>
      </c>
      <c r="N83" s="8">
        <f>+L70+M70+P70+Q70+T70+U70+X70+Y70+AB70+AC70+AF70+AG70-N82</f>
        <v>138217.07</v>
      </c>
      <c r="R83" s="8">
        <f>+P70+Q70+T70+U70+X70+Y70+AB70+AC70+AF70+AG70+AJ70+AK70-R82</f>
        <v>130579.57</v>
      </c>
      <c r="V83" s="8">
        <f>+T70+U70+X70+Y70+AB70+AC70+AF70+AG70+AJ70+AK70+AN70+AO70-V82</f>
        <v>121829.57</v>
      </c>
      <c r="Z83" s="8">
        <f>+X70+Y70+AB70+AC70+AF70+AG70+AJ70+AK70+AN70+AO70+AR70+AS70-Z82</f>
        <v>89579.540000000037</v>
      </c>
      <c r="AD83" s="8">
        <f>+AB70+AC70+AF70+AG70+AJ70+AK70+AN70+AO70+AR70+AS70+AV70+AW70-AD82</f>
        <v>39785.75</v>
      </c>
    </row>
    <row r="84" spans="2:30" x14ac:dyDescent="0.2">
      <c r="B84" t="s">
        <v>61</v>
      </c>
      <c r="F84" s="8">
        <f>+J84+F72</f>
        <v>90593.677040689989</v>
      </c>
      <c r="J84" s="8">
        <f>+J72+N72+R72+V72+Z72+AD72</f>
        <v>98490.347040689987</v>
      </c>
      <c r="N84" s="8">
        <f>+N72+R72+V72+Z72+AD72+AH72</f>
        <v>92506.65</v>
      </c>
      <c r="R84" s="8">
        <f>+R72+V72+Z72+AD72+AH72+AL72</f>
        <v>31445.809999999998</v>
      </c>
      <c r="V84" s="8">
        <f>+V72+Z72+AD72+AH72+AL72+AP72</f>
        <v>2651.7099999999996</v>
      </c>
      <c r="Z84" s="8">
        <f>+Z72+AD72+AH72+AL72+AP72+AT72</f>
        <v>4202.7</v>
      </c>
      <c r="AD84" s="8">
        <f>+AD72+AH72+AL72+AP72+AT72+AX72</f>
        <v>151.88999999999999</v>
      </c>
    </row>
    <row r="85" spans="2:30" x14ac:dyDescent="0.2">
      <c r="B85" t="s">
        <v>33</v>
      </c>
      <c r="F85" s="8">
        <f>+J85-F75</f>
        <v>-42202.06</v>
      </c>
      <c r="J85" s="8">
        <f>-AD75-Z75-V75-R75-N75-J75</f>
        <v>-35811.279999999999</v>
      </c>
      <c r="N85" s="8">
        <f>-AH75-AD75-Z75-V75-R75-N75</f>
        <v>-29344.23</v>
      </c>
      <c r="R85" s="8">
        <f>-AL75-AH75-AD75-Z75-V75-R75</f>
        <v>-23136.25</v>
      </c>
      <c r="V85" s="8">
        <f>-AP75-AL75-AH75-AD75-Z75-V75</f>
        <v>-16893.14</v>
      </c>
      <c r="Z85" s="8">
        <f>-AT75-AP75-AL75-AH75-AD75-Z75</f>
        <v>-10693.8</v>
      </c>
      <c r="AD85" s="8">
        <f>-AX75-AT75-AP75-AL75-AH75-AD75</f>
        <v>-4795.4799999999996</v>
      </c>
    </row>
    <row r="86" spans="2:30" ht="13.5" thickBot="1" x14ac:dyDescent="0.25">
      <c r="F86" s="55">
        <f>SUM(F82:F85)</f>
        <v>402216.57704069</v>
      </c>
      <c r="J86" s="55">
        <f>SUM(J82:J85)</f>
        <v>407129.02704068995</v>
      </c>
      <c r="N86" s="55">
        <f>SUM(N82:N85)</f>
        <v>397862.38</v>
      </c>
      <c r="R86" s="55">
        <f>SUM(R82:R85)</f>
        <v>335372.02</v>
      </c>
      <c r="V86" s="55">
        <f>SUM(V82:V85)</f>
        <v>304071.03000000003</v>
      </c>
      <c r="Z86" s="55">
        <f>SUM(Z82:Z85)</f>
        <v>279571.33000000007</v>
      </c>
      <c r="AD86" s="55">
        <f>SUM(AD82:AD85)</f>
        <v>231625.05000000002</v>
      </c>
    </row>
    <row r="87" spans="2:30" ht="13.5" thickTop="1" x14ac:dyDescent="0.2"/>
    <row r="89" spans="2:30" x14ac:dyDescent="0.2">
      <c r="B89" t="s">
        <v>363</v>
      </c>
      <c r="F89" s="8">
        <f>+E19</f>
        <v>9375</v>
      </c>
    </row>
    <row r="90" spans="2:30" x14ac:dyDescent="0.2">
      <c r="B90" t="s">
        <v>364</v>
      </c>
      <c r="F90" s="8">
        <f>-E36</f>
        <v>-6390.7800000000007</v>
      </c>
    </row>
    <row r="91" spans="2:30" x14ac:dyDescent="0.2">
      <c r="B91" t="s">
        <v>365</v>
      </c>
      <c r="F91" s="8">
        <f>+F89+F90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activeCell="N22" sqref="N22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282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73" t="s">
        <v>361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131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139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120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121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122</v>
      </c>
      <c r="D21" s="60" t="s">
        <v>14</v>
      </c>
      <c r="E21" s="60" t="s">
        <v>123</v>
      </c>
      <c r="F21" s="60" t="s">
        <v>124</v>
      </c>
      <c r="G21" s="73" t="s">
        <v>362</v>
      </c>
      <c r="H21" s="73" t="s">
        <v>13</v>
      </c>
      <c r="I21" s="73" t="s">
        <v>208</v>
      </c>
      <c r="J21" s="60" t="s">
        <v>292</v>
      </c>
      <c r="K21" s="60"/>
      <c r="L21" s="60"/>
    </row>
    <row r="22" spans="1:13" x14ac:dyDescent="0.2">
      <c r="A22" s="63"/>
      <c r="B22" s="63" t="s">
        <v>110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112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115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118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119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153</v>
      </c>
    </row>
    <row r="39" spans="1:12" x14ac:dyDescent="0.2">
      <c r="B39" s="50" t="s">
        <v>154</v>
      </c>
    </row>
    <row r="40" spans="1:12" x14ac:dyDescent="0.2">
      <c r="G40" s="50" t="s">
        <v>204</v>
      </c>
    </row>
    <row r="41" spans="1:12" ht="12.75" customHeight="1" x14ac:dyDescent="0.2">
      <c r="B41" s="127" t="s">
        <v>311</v>
      </c>
      <c r="C41" s="127"/>
      <c r="D41" s="127"/>
      <c r="E41" s="127"/>
      <c r="F41" s="68">
        <v>6164.37</v>
      </c>
      <c r="G41" s="50" t="s">
        <v>360</v>
      </c>
      <c r="H41" s="50" t="s">
        <v>150</v>
      </c>
      <c r="I41" s="50" t="s">
        <v>147</v>
      </c>
      <c r="J41" s="50" t="s">
        <v>148</v>
      </c>
      <c r="K41" s="50" t="s">
        <v>206</v>
      </c>
    </row>
    <row r="42" spans="1:12" ht="25.5" hidden="1" x14ac:dyDescent="0.2">
      <c r="B42" s="69">
        <v>41949</v>
      </c>
      <c r="C42" s="69">
        <v>41946</v>
      </c>
      <c r="D42" s="112" t="s">
        <v>155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156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157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158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159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160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161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162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163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164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165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166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167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168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169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170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171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172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173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174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175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176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177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178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179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180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181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182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183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184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185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186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187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188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189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190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191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192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193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194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195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196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197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198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199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200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127" t="s">
        <v>359</v>
      </c>
      <c r="C90" s="127"/>
      <c r="D90" s="127"/>
      <c r="E90" s="68" t="s">
        <v>202</v>
      </c>
      <c r="F90" s="71">
        <f>+F41+L88</f>
        <v>348.35000000000127</v>
      </c>
      <c r="H90" s="50" t="s">
        <v>211</v>
      </c>
    </row>
    <row r="91" spans="2:12" ht="12.75" customHeight="1" x14ac:dyDescent="0.2">
      <c r="B91" s="127" t="s">
        <v>207</v>
      </c>
      <c r="C91" s="127"/>
      <c r="D91" s="127"/>
      <c r="E91" s="127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213</v>
      </c>
    </row>
    <row r="97" spans="2:4" x14ac:dyDescent="0.2">
      <c r="B97" t="s">
        <v>284</v>
      </c>
    </row>
    <row r="99" spans="2:4" x14ac:dyDescent="0.2">
      <c r="C99" t="s">
        <v>285</v>
      </c>
      <c r="D99" t="s">
        <v>0</v>
      </c>
    </row>
    <row r="100" spans="2:4" x14ac:dyDescent="0.2">
      <c r="B100" t="s">
        <v>286</v>
      </c>
      <c r="C100">
        <v>-2000</v>
      </c>
      <c r="D100">
        <f>+-C100</f>
        <v>2000</v>
      </c>
    </row>
    <row r="101" spans="2:4" x14ac:dyDescent="0.2">
      <c r="B101" t="s">
        <v>287</v>
      </c>
      <c r="C101">
        <v>29</v>
      </c>
      <c r="D101">
        <f t="shared" ref="D101:D108" si="3">+-C101</f>
        <v>-29</v>
      </c>
    </row>
    <row r="102" spans="2:4" x14ac:dyDescent="0.2">
      <c r="B102" t="s">
        <v>288</v>
      </c>
      <c r="C102">
        <v>-1250</v>
      </c>
      <c r="D102">
        <f t="shared" si="3"/>
        <v>1250</v>
      </c>
    </row>
    <row r="103" spans="2:4" x14ac:dyDescent="0.2">
      <c r="B103" t="s">
        <v>289</v>
      </c>
      <c r="C103">
        <v>-6250</v>
      </c>
      <c r="D103">
        <f t="shared" si="3"/>
        <v>6250</v>
      </c>
    </row>
    <row r="104" spans="2:4" x14ac:dyDescent="0.2">
      <c r="B104" t="s">
        <v>290</v>
      </c>
      <c r="C104">
        <v>7200</v>
      </c>
      <c r="D104">
        <f t="shared" si="3"/>
        <v>-7200</v>
      </c>
    </row>
    <row r="105" spans="2:4" x14ac:dyDescent="0.2">
      <c r="B105" t="s">
        <v>291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128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60" t="s">
        <v>109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131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139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121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122</v>
      </c>
      <c r="D21" s="113" t="s">
        <v>14</v>
      </c>
      <c r="E21" s="60" t="s">
        <v>123</v>
      </c>
      <c r="F21" s="60" t="s">
        <v>124</v>
      </c>
      <c r="G21" s="60" t="s">
        <v>125</v>
      </c>
      <c r="H21" s="73" t="s">
        <v>13</v>
      </c>
      <c r="I21" s="73" t="s">
        <v>208</v>
      </c>
      <c r="J21" s="60"/>
      <c r="K21" s="60"/>
      <c r="L21" s="60"/>
    </row>
    <row r="22" spans="1:12" x14ac:dyDescent="0.2">
      <c r="A22" s="63"/>
      <c r="B22" s="63" t="s">
        <v>110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111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112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113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114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115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116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117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118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119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120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140</v>
      </c>
    </row>
    <row r="38" spans="1:12" x14ac:dyDescent="0.2">
      <c r="G38" s="50" t="s">
        <v>152</v>
      </c>
      <c r="H38" s="50" t="s">
        <v>142</v>
      </c>
      <c r="I38" s="50" t="s">
        <v>143</v>
      </c>
    </row>
    <row r="39" spans="1:12" x14ac:dyDescent="0.2">
      <c r="B39" s="50" t="s">
        <v>141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144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145</v>
      </c>
      <c r="E42" s="2"/>
      <c r="F42" s="2">
        <f>102.16+133.87+127.03+327.84+12.63+486.65</f>
        <v>1190.1799999999998</v>
      </c>
    </row>
    <row r="43" spans="1:12" x14ac:dyDescent="0.2">
      <c r="B43" s="50" t="s">
        <v>146</v>
      </c>
      <c r="E43" s="2">
        <f>266.61+133.87+50000</f>
        <v>50400.480000000003</v>
      </c>
      <c r="F43" s="2"/>
    </row>
    <row r="44" spans="1:12" x14ac:dyDescent="0.2">
      <c r="B44" s="50" t="s">
        <v>150</v>
      </c>
      <c r="E44" s="2">
        <v>14.4</v>
      </c>
      <c r="F44" s="2"/>
    </row>
    <row r="45" spans="1:12" x14ac:dyDescent="0.2">
      <c r="B45" s="50" t="s">
        <v>147</v>
      </c>
      <c r="E45" s="2"/>
      <c r="F45" s="2">
        <v>68559.34</v>
      </c>
    </row>
    <row r="46" spans="1:12" x14ac:dyDescent="0.2">
      <c r="B46" s="50" t="s">
        <v>148</v>
      </c>
      <c r="E46" s="2">
        <f>9999.8+9999.01</f>
        <v>19998.809999999998</v>
      </c>
      <c r="F46" s="2"/>
      <c r="H46" s="8"/>
    </row>
    <row r="47" spans="1:12" x14ac:dyDescent="0.2">
      <c r="B47" s="50" t="s">
        <v>149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151</v>
      </c>
      <c r="E50" s="2"/>
      <c r="F50" s="2">
        <f>+F40+F48-E48</f>
        <v>0</v>
      </c>
    </row>
    <row r="53" spans="1:11" ht="20.25" x14ac:dyDescent="0.3">
      <c r="A53" s="104" t="s">
        <v>153</v>
      </c>
    </row>
    <row r="54" spans="1:11" x14ac:dyDescent="0.2">
      <c r="B54" s="50" t="s">
        <v>109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154</v>
      </c>
    </row>
    <row r="57" spans="1:11" x14ac:dyDescent="0.2">
      <c r="G57" s="50" t="s">
        <v>204</v>
      </c>
    </row>
    <row r="58" spans="1:11" ht="12.75" customHeight="1" x14ac:dyDescent="0.2">
      <c r="B58" s="127" t="s">
        <v>203</v>
      </c>
      <c r="C58" s="127"/>
      <c r="D58" s="127"/>
      <c r="E58" s="127"/>
      <c r="F58" s="68">
        <v>0</v>
      </c>
      <c r="G58" s="50" t="s">
        <v>205</v>
      </c>
      <c r="H58" s="50" t="s">
        <v>150</v>
      </c>
      <c r="I58" s="50" t="s">
        <v>147</v>
      </c>
      <c r="J58" s="50" t="s">
        <v>148</v>
      </c>
      <c r="K58" s="50" t="s">
        <v>206</v>
      </c>
    </row>
    <row r="59" spans="1:11" ht="25.5" hidden="1" x14ac:dyDescent="0.2">
      <c r="B59" s="69">
        <v>41949</v>
      </c>
      <c r="C59" s="69">
        <v>41946</v>
      </c>
      <c r="D59" s="67" t="s">
        <v>155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156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157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158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159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160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161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162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163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164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165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166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167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168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169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170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171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172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173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174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175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176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177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178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179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180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181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182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183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184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185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186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187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188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189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190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191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192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193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194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195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196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197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198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199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200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27" t="s">
        <v>201</v>
      </c>
      <c r="C107" s="127"/>
      <c r="D107" s="127"/>
      <c r="E107" s="68" t="s">
        <v>202</v>
      </c>
      <c r="F107" s="71">
        <v>6164.37</v>
      </c>
      <c r="H107" s="50" t="s">
        <v>211</v>
      </c>
    </row>
    <row r="108" spans="2:12" ht="12.75" customHeight="1" x14ac:dyDescent="0.2">
      <c r="B108" s="127" t="s">
        <v>207</v>
      </c>
      <c r="C108" s="127"/>
      <c r="D108" s="127"/>
      <c r="E108" s="127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213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C1" workbookViewId="0">
      <selection activeCell="O6" sqref="O6"/>
    </sheetView>
  </sheetViews>
  <sheetFormatPr defaultRowHeight="12.75" x14ac:dyDescent="0.2"/>
  <cols>
    <col min="2" max="2" width="9.140625" style="7"/>
    <col min="3" max="3" width="11.28515625" bestFit="1" customWidth="1"/>
    <col min="4" max="7" width="11.28515625" customWidth="1"/>
    <col min="8" max="15" width="10.28515625" bestFit="1" customWidth="1"/>
    <col min="16" max="16" width="11.28515625" bestFit="1" customWidth="1"/>
    <col min="17" max="17" width="10.28515625" bestFit="1" customWidth="1"/>
    <col min="18" max="18" width="11.28515625" bestFit="1" customWidth="1"/>
    <col min="19" max="19" width="10.28515625" bestFit="1" customWidth="1"/>
  </cols>
  <sheetData>
    <row r="1" spans="1:19" x14ac:dyDescent="0.2">
      <c r="B1" s="7" t="s">
        <v>46</v>
      </c>
      <c r="C1" s="7"/>
      <c r="D1" s="7">
        <v>2016</v>
      </c>
      <c r="E1" s="7">
        <v>2015</v>
      </c>
      <c r="F1" s="7">
        <v>2014</v>
      </c>
      <c r="G1" s="7">
        <v>2013</v>
      </c>
      <c r="H1" s="7">
        <v>2012</v>
      </c>
      <c r="I1" s="7">
        <v>2011</v>
      </c>
      <c r="J1" s="7">
        <v>2010</v>
      </c>
      <c r="K1" s="7">
        <v>2009</v>
      </c>
      <c r="L1" s="7">
        <v>2008</v>
      </c>
      <c r="M1" s="7">
        <v>2007</v>
      </c>
      <c r="N1" s="7">
        <v>2006</v>
      </c>
      <c r="O1" s="7">
        <v>2005</v>
      </c>
      <c r="P1" s="7"/>
      <c r="Q1" s="7" t="s">
        <v>293</v>
      </c>
      <c r="R1" s="7" t="s">
        <v>296</v>
      </c>
      <c r="S1" s="7" t="s">
        <v>297</v>
      </c>
    </row>
    <row r="2" spans="1:19" x14ac:dyDescent="0.2">
      <c r="A2" t="s">
        <v>47</v>
      </c>
      <c r="B2" s="7" t="s">
        <v>54</v>
      </c>
      <c r="D2" s="2">
        <f>+'Pension Funds'!E10/0.8</f>
        <v>1562.5</v>
      </c>
      <c r="E2" s="2">
        <v>1562.5</v>
      </c>
      <c r="F2" s="2">
        <f>+'Pension Funds'!M10+'Pension Funds'!M16</f>
        <v>150</v>
      </c>
      <c r="G2" s="2">
        <f>+'Pension Funds'!Q10+'Pension Funds'!Q16</f>
        <v>4375</v>
      </c>
      <c r="H2" s="2">
        <v>16500</v>
      </c>
      <c r="I2" s="2">
        <v>33125</v>
      </c>
      <c r="J2" s="2">
        <v>30819</v>
      </c>
      <c r="K2" s="2">
        <v>37500</v>
      </c>
      <c r="L2" s="2">
        <v>29441</v>
      </c>
      <c r="M2" s="2">
        <v>26102.560000000001</v>
      </c>
      <c r="N2" s="2">
        <v>7351.39</v>
      </c>
      <c r="O2" s="2">
        <v>9482.7999999999993</v>
      </c>
      <c r="P2" s="2">
        <f>SUM(D2:O2)</f>
        <v>197971.75</v>
      </c>
      <c r="Q2" s="4">
        <f>+P2*0.2</f>
        <v>39594.350000000006</v>
      </c>
      <c r="R2" s="3">
        <f>+P2-Q2</f>
        <v>158377.4</v>
      </c>
      <c r="S2" s="3">
        <f>+P3</f>
        <v>58841.119999999995</v>
      </c>
    </row>
    <row r="3" spans="1:19" x14ac:dyDescent="0.2">
      <c r="B3" s="7" t="s">
        <v>48</v>
      </c>
      <c r="D3" s="2"/>
      <c r="E3" s="2">
        <v>0</v>
      </c>
      <c r="F3" s="2">
        <v>0</v>
      </c>
      <c r="G3" s="2">
        <v>0</v>
      </c>
      <c r="H3" s="2">
        <v>6056.28</v>
      </c>
      <c r="I3" s="2">
        <v>8075.04</v>
      </c>
      <c r="J3" s="2">
        <v>14131.32</v>
      </c>
      <c r="K3" s="2">
        <v>5226</v>
      </c>
      <c r="L3" s="2">
        <v>9579.9500000000007</v>
      </c>
      <c r="M3" s="2">
        <v>7497.33</v>
      </c>
      <c r="N3" s="2">
        <v>0</v>
      </c>
      <c r="O3" s="2">
        <v>8275.2000000000007</v>
      </c>
      <c r="P3" s="2">
        <f>SUM(D3:O3)</f>
        <v>58841.119999999995</v>
      </c>
      <c r="Q3" s="4"/>
      <c r="R3" s="3"/>
      <c r="S3" s="3"/>
    </row>
    <row r="4" spans="1:19" ht="13.5" thickBot="1" x14ac:dyDescent="0.25">
      <c r="B4" s="7" t="s">
        <v>30</v>
      </c>
      <c r="D4" s="5">
        <f t="shared" ref="D4:G4" si="0">SUM(D2:D3)</f>
        <v>1562.5</v>
      </c>
      <c r="E4" s="5">
        <f t="shared" si="0"/>
        <v>1562.5</v>
      </c>
      <c r="F4" s="5">
        <f t="shared" si="0"/>
        <v>150</v>
      </c>
      <c r="G4" s="5">
        <f t="shared" si="0"/>
        <v>4375</v>
      </c>
      <c r="H4" s="5">
        <f>SUM(H2:H3)</f>
        <v>22556.28</v>
      </c>
      <c r="I4" s="5">
        <f t="shared" ref="I4:O4" si="1">SUM(I2:I3)</f>
        <v>41200.04</v>
      </c>
      <c r="J4" s="5">
        <f t="shared" si="1"/>
        <v>44950.32</v>
      </c>
      <c r="K4" s="5">
        <f t="shared" si="1"/>
        <v>42726</v>
      </c>
      <c r="L4" s="5">
        <f t="shared" si="1"/>
        <v>39020.949999999997</v>
      </c>
      <c r="M4" s="5">
        <f t="shared" si="1"/>
        <v>33599.89</v>
      </c>
      <c r="N4" s="5">
        <f t="shared" si="1"/>
        <v>7351.39</v>
      </c>
      <c r="O4" s="5">
        <f t="shared" si="1"/>
        <v>17758</v>
      </c>
      <c r="P4" s="5">
        <f>SUM(P2:P3)</f>
        <v>256812.87</v>
      </c>
      <c r="Q4" s="4"/>
      <c r="R4" s="3"/>
      <c r="S4" s="3"/>
    </row>
    <row r="5" spans="1:19" ht="13.5" thickTop="1" x14ac:dyDescent="0.2">
      <c r="A5" s="50" t="s">
        <v>295</v>
      </c>
      <c r="C5" s="2">
        <f>40000-D4</f>
        <v>38437.5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3"/>
      <c r="S5" s="3"/>
    </row>
    <row r="6" spans="1:19" x14ac:dyDescent="0.2">
      <c r="A6" s="50" t="s">
        <v>294</v>
      </c>
      <c r="C6" s="2">
        <f>40000-E4</f>
        <v>38437.5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3"/>
      <c r="S6" s="3"/>
    </row>
    <row r="7" spans="1:19" x14ac:dyDescent="0.2">
      <c r="A7" s="50" t="s">
        <v>55</v>
      </c>
      <c r="C7" s="2">
        <f>50000-F4</f>
        <v>49850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3"/>
      <c r="S7" s="3"/>
    </row>
    <row r="8" spans="1:19" ht="13.5" thickBot="1" x14ac:dyDescent="0.25">
      <c r="C8" s="5">
        <f>SUM(C5:C7)</f>
        <v>126725</v>
      </c>
      <c r="D8" s="52"/>
      <c r="E8" s="52"/>
      <c r="F8" s="52"/>
      <c r="G8" s="52"/>
      <c r="H8" s="2"/>
      <c r="I8" s="2"/>
      <c r="J8" s="2"/>
      <c r="K8" s="2"/>
      <c r="L8" s="2"/>
      <c r="M8" s="2"/>
      <c r="N8" s="2"/>
      <c r="O8" s="2"/>
      <c r="P8" s="2"/>
      <c r="Q8" s="4"/>
      <c r="R8" s="3"/>
      <c r="S8" s="3"/>
    </row>
    <row r="9" spans="1:19" ht="13.5" thickTop="1" x14ac:dyDescent="0.2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293</v>
      </c>
      <c r="R9" s="7" t="s">
        <v>296</v>
      </c>
      <c r="S9" s="7" t="s">
        <v>297</v>
      </c>
    </row>
    <row r="10" spans="1:19" x14ac:dyDescent="0.2">
      <c r="A10" t="s">
        <v>49</v>
      </c>
      <c r="B10" s="7" t="s">
        <v>54</v>
      </c>
      <c r="D10" s="2">
        <f>+'Pension Funds'!E11/0.8</f>
        <v>7812.5</v>
      </c>
      <c r="E10" s="2">
        <v>8187.5</v>
      </c>
      <c r="F10" s="2">
        <f>+'Pension Funds'!M11+'Pension Funds'!M17</f>
        <v>7487.5</v>
      </c>
      <c r="G10" s="2">
        <f>+'Pension Funds'!Q11+'Pension Funds'!Q17</f>
        <v>4375</v>
      </c>
      <c r="H10" s="2">
        <v>9694</v>
      </c>
      <c r="I10" s="2">
        <v>6594</v>
      </c>
      <c r="J10" s="2">
        <v>5590</v>
      </c>
      <c r="K10" s="2">
        <v>3600</v>
      </c>
      <c r="L10" s="2">
        <v>5965</v>
      </c>
      <c r="M10" s="2">
        <v>3600</v>
      </c>
      <c r="N10" s="2">
        <v>3600</v>
      </c>
      <c r="O10" s="2">
        <v>4564.79</v>
      </c>
      <c r="P10" s="2">
        <f>SUM(D10:O10)</f>
        <v>71070.289999999994</v>
      </c>
      <c r="Q10" s="4">
        <f>+P10*0.2</f>
        <v>14214.057999999999</v>
      </c>
      <c r="R10" s="3">
        <f>+P10-Q10</f>
        <v>56856.231999999996</v>
      </c>
      <c r="S10" s="3">
        <f>+P11</f>
        <v>6821</v>
      </c>
    </row>
    <row r="11" spans="1:19" x14ac:dyDescent="0.2">
      <c r="B11" s="7" t="s">
        <v>48</v>
      </c>
      <c r="D11" s="2"/>
      <c r="E11" s="2"/>
      <c r="F11" s="2"/>
      <c r="G11" s="2"/>
      <c r="H11" s="2">
        <v>0</v>
      </c>
      <c r="I11" s="2">
        <v>2000</v>
      </c>
      <c r="J11" s="2">
        <v>0</v>
      </c>
      <c r="K11" s="2">
        <v>0</v>
      </c>
      <c r="L11" s="2">
        <v>0</v>
      </c>
      <c r="M11" s="2">
        <v>1221</v>
      </c>
      <c r="N11" s="2">
        <v>0</v>
      </c>
      <c r="O11" s="2">
        <v>3600</v>
      </c>
      <c r="P11" s="2">
        <f>SUM(D11:O11)</f>
        <v>6821</v>
      </c>
      <c r="Q11" s="4"/>
      <c r="R11" s="3"/>
      <c r="S11" s="3"/>
    </row>
    <row r="12" spans="1:19" ht="13.5" thickBot="1" x14ac:dyDescent="0.25">
      <c r="B12" s="7" t="s">
        <v>30</v>
      </c>
      <c r="D12" s="5">
        <f>SUM(D10:D11)</f>
        <v>7812.5</v>
      </c>
      <c r="E12" s="5">
        <f>SUM(E10:E11)</f>
        <v>8187.5</v>
      </c>
      <c r="F12" s="5">
        <f t="shared" ref="F12:G12" si="2">SUM(F10:F11)</f>
        <v>7487.5</v>
      </c>
      <c r="G12" s="5">
        <f t="shared" si="2"/>
        <v>4375</v>
      </c>
      <c r="H12" s="5">
        <f>SUM(H10:H11)</f>
        <v>9694</v>
      </c>
      <c r="I12" s="5">
        <f t="shared" ref="I12:O12" si="3">SUM(I10:I11)</f>
        <v>8594</v>
      </c>
      <c r="J12" s="5">
        <f t="shared" si="3"/>
        <v>5590</v>
      </c>
      <c r="K12" s="5">
        <f t="shared" si="3"/>
        <v>3600</v>
      </c>
      <c r="L12" s="5">
        <f t="shared" si="3"/>
        <v>5965</v>
      </c>
      <c r="M12" s="5">
        <f t="shared" si="3"/>
        <v>4821</v>
      </c>
      <c r="N12" s="5">
        <f t="shared" si="3"/>
        <v>3600</v>
      </c>
      <c r="O12" s="5">
        <f t="shared" si="3"/>
        <v>8164.79</v>
      </c>
      <c r="P12" s="5">
        <f>SUM(P10:P11)</f>
        <v>77891.289999999994</v>
      </c>
      <c r="Q12" s="4"/>
      <c r="R12" s="3"/>
      <c r="S12" s="3"/>
    </row>
    <row r="13" spans="1:19" ht="13.5" thickTop="1" x14ac:dyDescent="0.2"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4"/>
      <c r="R13" s="3"/>
      <c r="S13" s="3"/>
    </row>
    <row r="14" spans="1:19" x14ac:dyDescent="0.2">
      <c r="A14" t="s">
        <v>295</v>
      </c>
      <c r="C14" s="8">
        <f>40000-D12</f>
        <v>32187.5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"/>
      <c r="R14" s="3"/>
      <c r="S14" s="3"/>
    </row>
    <row r="15" spans="1:19" x14ac:dyDescent="0.2">
      <c r="A15" s="50" t="s">
        <v>294</v>
      </c>
      <c r="C15" s="2">
        <f>40000-E12</f>
        <v>31812.5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3"/>
      <c r="S15" s="3"/>
    </row>
    <row r="16" spans="1:19" x14ac:dyDescent="0.2">
      <c r="A16" s="50" t="s">
        <v>55</v>
      </c>
      <c r="C16" s="2">
        <f>+C15-F12</f>
        <v>24325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3"/>
      <c r="S16" s="3"/>
    </row>
    <row r="17" spans="1:19" ht="13.5" thickBot="1" x14ac:dyDescent="0.25">
      <c r="C17" s="5">
        <f>SUM(C14:C16)</f>
        <v>88325</v>
      </c>
      <c r="D17" s="52"/>
      <c r="E17" s="52"/>
      <c r="F17" s="52"/>
      <c r="G17" s="52"/>
      <c r="H17" s="2"/>
      <c r="I17" s="2"/>
      <c r="J17" s="2"/>
      <c r="K17" s="2"/>
      <c r="L17" s="2"/>
      <c r="M17" s="2"/>
      <c r="N17" s="2"/>
      <c r="O17" s="2"/>
      <c r="P17" s="2"/>
      <c r="Q17" s="4"/>
      <c r="R17" s="3"/>
      <c r="S17" s="3"/>
    </row>
    <row r="18" spans="1:19" ht="13.5" thickTop="1" x14ac:dyDescent="0.2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  <c r="R18" s="3"/>
      <c r="S18" s="3"/>
    </row>
    <row r="19" spans="1:19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3"/>
      <c r="S19" s="3"/>
    </row>
    <row r="20" spans="1:19" x14ac:dyDescent="0.2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3"/>
      <c r="S20" s="3"/>
    </row>
    <row r="21" spans="1:19" x14ac:dyDescent="0.2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"/>
      <c r="R21" s="3"/>
      <c r="S21" s="3"/>
    </row>
    <row r="22" spans="1:19" x14ac:dyDescent="0.2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" t="s">
        <v>293</v>
      </c>
      <c r="R22" s="7" t="s">
        <v>296</v>
      </c>
      <c r="S22" s="7" t="s">
        <v>297</v>
      </c>
    </row>
    <row r="23" spans="1:19" ht="13.5" thickBot="1" x14ac:dyDescent="0.25">
      <c r="A23" s="1" t="s">
        <v>273</v>
      </c>
      <c r="D23" s="5">
        <f t="shared" ref="D23:P23" si="4">+D12+D4</f>
        <v>9375</v>
      </c>
      <c r="E23" s="5">
        <f t="shared" si="4"/>
        <v>9750</v>
      </c>
      <c r="F23" s="5">
        <f t="shared" si="4"/>
        <v>7637.5</v>
      </c>
      <c r="G23" s="5">
        <f t="shared" si="4"/>
        <v>8750</v>
      </c>
      <c r="H23" s="5">
        <f t="shared" si="4"/>
        <v>32250.28</v>
      </c>
      <c r="I23" s="5">
        <f t="shared" si="4"/>
        <v>49794.04</v>
      </c>
      <c r="J23" s="5">
        <f t="shared" si="4"/>
        <v>50540.32</v>
      </c>
      <c r="K23" s="5">
        <f t="shared" si="4"/>
        <v>46326</v>
      </c>
      <c r="L23" s="5">
        <f t="shared" si="4"/>
        <v>44985.95</v>
      </c>
      <c r="M23" s="5">
        <f t="shared" si="4"/>
        <v>38420.89</v>
      </c>
      <c r="N23" s="5">
        <f t="shared" si="4"/>
        <v>10951.39</v>
      </c>
      <c r="O23" s="5">
        <f t="shared" si="4"/>
        <v>25922.79</v>
      </c>
      <c r="P23" s="5">
        <f t="shared" si="4"/>
        <v>334704.15999999997</v>
      </c>
      <c r="Q23" s="115">
        <f>+Q10+Q2</f>
        <v>53808.408000000003</v>
      </c>
      <c r="R23" s="3">
        <f>+R2+R10</f>
        <v>215233.63199999998</v>
      </c>
      <c r="S23" s="3">
        <f>+S2+S10</f>
        <v>65662.12</v>
      </c>
    </row>
    <row r="24" spans="1:19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62</v>
      </c>
      <c r="B2" s="56" t="s">
        <v>63</v>
      </c>
      <c r="C2" s="56" t="s">
        <v>64</v>
      </c>
      <c r="D2" s="56" t="s">
        <v>65</v>
      </c>
    </row>
    <row r="3" spans="1:6" ht="12.75" customHeight="1" x14ac:dyDescent="0.2">
      <c r="A3" s="129" t="s">
        <v>66</v>
      </c>
      <c r="B3" s="130" t="s">
        <v>67</v>
      </c>
      <c r="C3" s="130">
        <v>0.35909999999999997</v>
      </c>
      <c r="D3" s="128">
        <v>20000</v>
      </c>
    </row>
    <row r="4" spans="1:6" x14ac:dyDescent="0.2">
      <c r="A4" s="129"/>
      <c r="B4" s="130"/>
      <c r="C4" s="130"/>
      <c r="D4" s="128"/>
    </row>
    <row r="5" spans="1:6" x14ac:dyDescent="0.2">
      <c r="A5" s="129"/>
      <c r="B5" s="130"/>
      <c r="C5" s="130"/>
      <c r="D5" s="128"/>
      <c r="E5" s="74">
        <f>+(C3*D3)/1.4</f>
        <v>5130</v>
      </c>
      <c r="F5" t="s">
        <v>96</v>
      </c>
    </row>
    <row r="6" spans="1:6" x14ac:dyDescent="0.2">
      <c r="A6" s="129"/>
      <c r="B6" s="130"/>
      <c r="C6" s="130"/>
      <c r="D6" s="128"/>
    </row>
    <row r="7" spans="1:6" x14ac:dyDescent="0.2">
      <c r="A7" s="129"/>
      <c r="B7" s="130"/>
      <c r="C7" s="130"/>
      <c r="D7" s="128"/>
    </row>
    <row r="8" spans="1:6" ht="12.75" customHeight="1" x14ac:dyDescent="0.2">
      <c r="A8" s="129" t="s">
        <v>68</v>
      </c>
      <c r="B8" s="130" t="s">
        <v>69</v>
      </c>
      <c r="C8" s="130">
        <v>52.16</v>
      </c>
      <c r="D8" s="128">
        <v>23831</v>
      </c>
    </row>
    <row r="9" spans="1:6" x14ac:dyDescent="0.2">
      <c r="A9" s="129"/>
      <c r="B9" s="130"/>
      <c r="C9" s="130"/>
      <c r="D9" s="128"/>
    </row>
    <row r="10" spans="1:6" x14ac:dyDescent="0.2">
      <c r="A10" s="129"/>
      <c r="B10" s="130"/>
      <c r="C10" s="130"/>
      <c r="D10" s="128"/>
      <c r="E10" s="74">
        <f>+C8*D8/100</f>
        <v>12430.249599999999</v>
      </c>
    </row>
    <row r="11" spans="1:6" x14ac:dyDescent="0.2">
      <c r="A11" s="129"/>
      <c r="B11" s="130"/>
      <c r="C11" s="130"/>
      <c r="D11" s="128"/>
    </row>
    <row r="12" spans="1:6" x14ac:dyDescent="0.2">
      <c r="A12" s="129"/>
      <c r="B12" s="130"/>
      <c r="C12" s="130"/>
      <c r="D12" s="128"/>
    </row>
    <row r="13" spans="1:6" ht="12.75" customHeight="1" x14ac:dyDescent="0.2">
      <c r="A13" s="129" t="s">
        <v>70</v>
      </c>
      <c r="B13" s="130" t="s">
        <v>71</v>
      </c>
      <c r="C13" s="130">
        <v>1.8478619999999999</v>
      </c>
      <c r="D13" s="128">
        <v>541166</v>
      </c>
    </row>
    <row r="14" spans="1:6" x14ac:dyDescent="0.2">
      <c r="A14" s="129"/>
      <c r="B14" s="130"/>
      <c r="C14" s="130"/>
      <c r="D14" s="128"/>
    </row>
    <row r="15" spans="1:6" x14ac:dyDescent="0.2">
      <c r="A15" s="129"/>
      <c r="B15" s="130"/>
      <c r="C15" s="130"/>
      <c r="D15" s="128"/>
      <c r="E15" s="74">
        <f>+C13*D13/100</f>
        <v>10000.000870919999</v>
      </c>
    </row>
    <row r="16" spans="1:6" x14ac:dyDescent="0.2">
      <c r="A16" s="129"/>
      <c r="B16" s="130"/>
      <c r="C16" s="130"/>
      <c r="D16" s="128"/>
    </row>
    <row r="17" spans="1:5" x14ac:dyDescent="0.2">
      <c r="A17" s="129"/>
      <c r="B17" s="130"/>
      <c r="C17" s="130"/>
      <c r="D17" s="128"/>
    </row>
    <row r="18" spans="1:5" ht="12.75" customHeight="1" x14ac:dyDescent="0.2">
      <c r="A18" s="129" t="s">
        <v>72</v>
      </c>
      <c r="B18" s="130" t="s">
        <v>73</v>
      </c>
      <c r="C18" s="130">
        <v>212.953</v>
      </c>
      <c r="D18" s="128">
        <v>4000</v>
      </c>
    </row>
    <row r="19" spans="1:5" x14ac:dyDescent="0.2">
      <c r="A19" s="129"/>
      <c r="B19" s="130"/>
      <c r="C19" s="130"/>
      <c r="D19" s="128"/>
    </row>
    <row r="20" spans="1:5" x14ac:dyDescent="0.2">
      <c r="A20" s="129"/>
      <c r="B20" s="130"/>
      <c r="C20" s="130"/>
      <c r="D20" s="128"/>
      <c r="E20" s="74">
        <f>+C18*D18/100</f>
        <v>8518.1200000000008</v>
      </c>
    </row>
    <row r="21" spans="1:5" x14ac:dyDescent="0.2">
      <c r="A21" s="129"/>
      <c r="B21" s="130"/>
      <c r="C21" s="130"/>
      <c r="D21" s="128"/>
    </row>
    <row r="22" spans="1:5" x14ac:dyDescent="0.2">
      <c r="A22" s="129"/>
      <c r="B22" s="130"/>
      <c r="C22" s="130"/>
      <c r="D22" s="128"/>
    </row>
    <row r="23" spans="1:5" ht="12.75" customHeight="1" x14ac:dyDescent="0.2">
      <c r="A23" s="129" t="s">
        <v>74</v>
      </c>
      <c r="B23" s="130" t="s">
        <v>75</v>
      </c>
      <c r="C23" s="131">
        <v>1217.5</v>
      </c>
      <c r="D23" s="130">
        <v>800</v>
      </c>
    </row>
    <row r="24" spans="1:5" x14ac:dyDescent="0.2">
      <c r="A24" s="129"/>
      <c r="B24" s="130"/>
      <c r="C24" s="131"/>
      <c r="D24" s="130"/>
    </row>
    <row r="25" spans="1:5" x14ac:dyDescent="0.2">
      <c r="A25" s="129"/>
      <c r="B25" s="130"/>
      <c r="C25" s="131"/>
      <c r="D25" s="130"/>
      <c r="E25" s="74">
        <f>+C23*D23/100</f>
        <v>9740</v>
      </c>
    </row>
    <row r="26" spans="1:5" x14ac:dyDescent="0.2">
      <c r="A26" s="129"/>
      <c r="B26" s="130"/>
      <c r="C26" s="131"/>
      <c r="D26" s="130"/>
    </row>
    <row r="27" spans="1:5" x14ac:dyDescent="0.2">
      <c r="A27" s="129"/>
      <c r="B27" s="130"/>
      <c r="C27" s="131"/>
      <c r="D27" s="130"/>
    </row>
    <row r="28" spans="1:5" ht="12.75" customHeight="1" x14ac:dyDescent="0.2">
      <c r="A28" s="129" t="s">
        <v>76</v>
      </c>
      <c r="B28" s="130" t="s">
        <v>77</v>
      </c>
      <c r="C28" s="130">
        <v>0.40891899999999998</v>
      </c>
      <c r="D28" s="128">
        <v>2445473</v>
      </c>
    </row>
    <row r="29" spans="1:5" x14ac:dyDescent="0.2">
      <c r="A29" s="129"/>
      <c r="B29" s="130"/>
      <c r="C29" s="130"/>
      <c r="D29" s="128"/>
    </row>
    <row r="30" spans="1:5" x14ac:dyDescent="0.2">
      <c r="A30" s="129"/>
      <c r="B30" s="130"/>
      <c r="C30" s="130"/>
      <c r="D30" s="128"/>
      <c r="E30" s="74">
        <f>+C28*D28/100</f>
        <v>10000.00373687</v>
      </c>
    </row>
    <row r="31" spans="1:5" x14ac:dyDescent="0.2">
      <c r="A31" s="129"/>
      <c r="B31" s="130"/>
      <c r="C31" s="130"/>
      <c r="D31" s="128"/>
    </row>
    <row r="32" spans="1:5" x14ac:dyDescent="0.2">
      <c r="A32" s="129"/>
      <c r="B32" s="130"/>
      <c r="C32" s="130"/>
      <c r="D32" s="128"/>
    </row>
    <row r="33" spans="1:5" ht="12.75" customHeight="1" x14ac:dyDescent="0.2">
      <c r="A33" s="129" t="s">
        <v>78</v>
      </c>
      <c r="B33" s="130" t="s">
        <v>79</v>
      </c>
      <c r="C33" s="130">
        <v>260.96033399999999</v>
      </c>
      <c r="D33" s="128">
        <v>1916</v>
      </c>
    </row>
    <row r="34" spans="1:5" x14ac:dyDescent="0.2">
      <c r="A34" s="129"/>
      <c r="B34" s="130"/>
      <c r="C34" s="130"/>
      <c r="D34" s="128"/>
    </row>
    <row r="35" spans="1:5" x14ac:dyDescent="0.2">
      <c r="A35" s="129"/>
      <c r="B35" s="130"/>
      <c r="C35" s="130"/>
      <c r="D35" s="128"/>
      <c r="E35" s="74">
        <f>+C33*D33/100</f>
        <v>4999.9999994399996</v>
      </c>
    </row>
    <row r="36" spans="1:5" x14ac:dyDescent="0.2">
      <c r="A36" s="129"/>
      <c r="B36" s="130"/>
      <c r="C36" s="130"/>
      <c r="D36" s="128"/>
    </row>
    <row r="37" spans="1:5" x14ac:dyDescent="0.2">
      <c r="A37" s="129"/>
      <c r="B37" s="130"/>
      <c r="C37" s="130"/>
      <c r="D37" s="128"/>
    </row>
    <row r="38" spans="1:5" ht="12.75" customHeight="1" x14ac:dyDescent="0.2">
      <c r="A38" s="129" t="s">
        <v>80</v>
      </c>
      <c r="B38" s="130" t="s">
        <v>81</v>
      </c>
      <c r="C38" s="130">
        <v>182.98920200000001</v>
      </c>
      <c r="D38" s="128">
        <v>5464</v>
      </c>
    </row>
    <row r="39" spans="1:5" x14ac:dyDescent="0.2">
      <c r="A39" s="129"/>
      <c r="B39" s="130"/>
      <c r="C39" s="130"/>
      <c r="D39" s="128"/>
    </row>
    <row r="40" spans="1:5" x14ac:dyDescent="0.2">
      <c r="A40" s="129"/>
      <c r="B40" s="130"/>
      <c r="C40" s="130"/>
      <c r="D40" s="128"/>
      <c r="E40" s="74">
        <f>+C38*D38/100</f>
        <v>9998.5299972800003</v>
      </c>
    </row>
    <row r="41" spans="1:5" x14ac:dyDescent="0.2">
      <c r="A41" s="129"/>
      <c r="B41" s="130"/>
      <c r="C41" s="130"/>
      <c r="D41" s="128"/>
    </row>
    <row r="42" spans="1:5" x14ac:dyDescent="0.2">
      <c r="A42" s="129"/>
      <c r="B42" s="130"/>
      <c r="C42" s="130"/>
      <c r="D42" s="128"/>
    </row>
    <row r="43" spans="1:5" ht="12.75" customHeight="1" x14ac:dyDescent="0.2">
      <c r="A43" s="129" t="s">
        <v>82</v>
      </c>
      <c r="B43" s="130" t="s">
        <v>83</v>
      </c>
      <c r="C43" s="130">
        <v>5.6349999999999998</v>
      </c>
      <c r="D43" s="128">
        <v>245016</v>
      </c>
    </row>
    <row r="44" spans="1:5" x14ac:dyDescent="0.2">
      <c r="A44" s="129"/>
      <c r="B44" s="130"/>
      <c r="C44" s="130"/>
      <c r="D44" s="128"/>
    </row>
    <row r="45" spans="1:5" x14ac:dyDescent="0.2">
      <c r="A45" s="129"/>
      <c r="B45" s="130"/>
      <c r="C45" s="130"/>
      <c r="D45" s="128"/>
      <c r="E45" s="74">
        <f>+C43*D43/100</f>
        <v>13806.651599999999</v>
      </c>
    </row>
    <row r="46" spans="1:5" x14ac:dyDescent="0.2">
      <c r="A46" s="129"/>
      <c r="B46" s="130"/>
      <c r="C46" s="130"/>
      <c r="D46" s="128"/>
    </row>
    <row r="47" spans="1:5" x14ac:dyDescent="0.2">
      <c r="A47" s="129"/>
      <c r="B47" s="130"/>
      <c r="C47" s="130"/>
      <c r="D47" s="128"/>
    </row>
    <row r="48" spans="1:5" ht="12.75" customHeight="1" x14ac:dyDescent="0.2">
      <c r="A48" s="129" t="s">
        <v>84</v>
      </c>
      <c r="B48" s="130" t="s">
        <v>85</v>
      </c>
      <c r="C48" s="130">
        <v>1.059353</v>
      </c>
      <c r="D48" s="128">
        <v>1887945</v>
      </c>
    </row>
    <row r="49" spans="1:5" x14ac:dyDescent="0.2">
      <c r="A49" s="129"/>
      <c r="B49" s="130"/>
      <c r="C49" s="130"/>
      <c r="D49" s="128"/>
    </row>
    <row r="50" spans="1:5" x14ac:dyDescent="0.2">
      <c r="A50" s="129"/>
      <c r="B50" s="130"/>
      <c r="C50" s="130"/>
      <c r="D50" s="128"/>
      <c r="E50" s="74">
        <f>+C48*D48/100</f>
        <v>20000.001995850002</v>
      </c>
    </row>
    <row r="51" spans="1:5" x14ac:dyDescent="0.2">
      <c r="A51" s="129"/>
      <c r="B51" s="130"/>
      <c r="C51" s="130"/>
      <c r="D51" s="128"/>
    </row>
    <row r="52" spans="1:5" x14ac:dyDescent="0.2">
      <c r="A52" s="129"/>
      <c r="B52" s="130"/>
      <c r="C52" s="130"/>
      <c r="D52" s="128"/>
    </row>
    <row r="53" spans="1:5" ht="12.75" customHeight="1" x14ac:dyDescent="0.2">
      <c r="A53" s="129" t="s">
        <v>86</v>
      </c>
      <c r="B53" s="130" t="s">
        <v>87</v>
      </c>
      <c r="C53" s="130">
        <v>264.26900000000001</v>
      </c>
      <c r="D53" s="128">
        <v>13111</v>
      </c>
    </row>
    <row r="54" spans="1:5" x14ac:dyDescent="0.2">
      <c r="A54" s="129"/>
      <c r="B54" s="130"/>
      <c r="C54" s="130"/>
      <c r="D54" s="128"/>
    </row>
    <row r="55" spans="1:5" x14ac:dyDescent="0.2">
      <c r="A55" s="129"/>
      <c r="B55" s="130"/>
      <c r="C55" s="130"/>
      <c r="D55" s="128"/>
      <c r="E55" s="74">
        <f>+C53*D53/100</f>
        <v>34648.308590000001</v>
      </c>
    </row>
    <row r="56" spans="1:5" x14ac:dyDescent="0.2">
      <c r="A56" s="129"/>
      <c r="B56" s="130"/>
      <c r="C56" s="130"/>
      <c r="D56" s="128"/>
    </row>
    <row r="57" spans="1:5" x14ac:dyDescent="0.2">
      <c r="A57" s="129"/>
      <c r="B57" s="130"/>
      <c r="C57" s="130"/>
      <c r="D57" s="128"/>
    </row>
    <row r="58" spans="1:5" ht="12.75" customHeight="1" x14ac:dyDescent="0.2">
      <c r="A58" s="129" t="s">
        <v>88</v>
      </c>
      <c r="B58" s="130" t="s">
        <v>89</v>
      </c>
      <c r="C58" s="130">
        <v>223.7</v>
      </c>
      <c r="D58" s="128">
        <v>4000</v>
      </c>
    </row>
    <row r="59" spans="1:5" x14ac:dyDescent="0.2">
      <c r="A59" s="129"/>
      <c r="B59" s="130"/>
      <c r="C59" s="130"/>
      <c r="D59" s="128"/>
    </row>
    <row r="60" spans="1:5" x14ac:dyDescent="0.2">
      <c r="A60" s="129"/>
      <c r="B60" s="130"/>
      <c r="C60" s="130"/>
      <c r="D60" s="128"/>
      <c r="E60" s="74">
        <f>+C58*D58/100</f>
        <v>8948</v>
      </c>
    </row>
    <row r="61" spans="1:5" x14ac:dyDescent="0.2">
      <c r="A61" s="129"/>
      <c r="B61" s="130"/>
      <c r="C61" s="130"/>
      <c r="D61" s="128"/>
    </row>
    <row r="62" spans="1:5" x14ac:dyDescent="0.2">
      <c r="A62" s="129"/>
      <c r="B62" s="130"/>
      <c r="C62" s="130"/>
      <c r="D62" s="128"/>
    </row>
    <row r="63" spans="1:5" ht="12.75" customHeight="1" x14ac:dyDescent="0.2">
      <c r="A63" s="129" t="s">
        <v>90</v>
      </c>
      <c r="B63" s="130" t="s">
        <v>91</v>
      </c>
      <c r="C63" s="130">
        <v>157.84233</v>
      </c>
      <c r="D63" s="128">
        <v>3000</v>
      </c>
    </row>
    <row r="64" spans="1:5" x14ac:dyDescent="0.2">
      <c r="A64" s="129"/>
      <c r="B64" s="130"/>
      <c r="C64" s="130"/>
      <c r="D64" s="128"/>
    </row>
    <row r="65" spans="1:6" x14ac:dyDescent="0.2">
      <c r="A65" s="129"/>
      <c r="B65" s="130"/>
      <c r="C65" s="130"/>
      <c r="D65" s="128"/>
      <c r="E65" s="74">
        <f>+C63*D63/100</f>
        <v>4735.2699000000002</v>
      </c>
    </row>
    <row r="66" spans="1:6" x14ac:dyDescent="0.2">
      <c r="A66" s="129"/>
      <c r="B66" s="130"/>
      <c r="C66" s="130"/>
      <c r="D66" s="128"/>
    </row>
    <row r="67" spans="1:6" x14ac:dyDescent="0.2">
      <c r="A67" s="129"/>
      <c r="B67" s="130"/>
      <c r="C67" s="130"/>
      <c r="D67" s="128"/>
    </row>
    <row r="68" spans="1:6" ht="12.75" customHeight="1" x14ac:dyDescent="0.2">
      <c r="A68" s="129" t="s">
        <v>92</v>
      </c>
      <c r="B68" s="130" t="s">
        <v>93</v>
      </c>
      <c r="C68" s="130">
        <v>91.652428999999998</v>
      </c>
      <c r="D68" s="128">
        <v>27275</v>
      </c>
    </row>
    <row r="69" spans="1:6" x14ac:dyDescent="0.2">
      <c r="A69" s="129"/>
      <c r="B69" s="130"/>
      <c r="C69" s="130"/>
      <c r="D69" s="128"/>
    </row>
    <row r="70" spans="1:6" x14ac:dyDescent="0.2">
      <c r="A70" s="129"/>
      <c r="B70" s="130"/>
      <c r="C70" s="130"/>
      <c r="D70" s="128"/>
      <c r="E70" s="74">
        <f>+C68*D68/100</f>
        <v>24998.200009749999</v>
      </c>
    </row>
    <row r="71" spans="1:6" x14ac:dyDescent="0.2">
      <c r="A71" s="129"/>
      <c r="B71" s="130"/>
      <c r="C71" s="130"/>
      <c r="D71" s="128"/>
    </row>
    <row r="72" spans="1:6" x14ac:dyDescent="0.2">
      <c r="A72" s="129"/>
      <c r="B72" s="130"/>
      <c r="C72" s="130"/>
      <c r="D72" s="128"/>
    </row>
    <row r="73" spans="1:6" ht="12.75" customHeight="1" x14ac:dyDescent="0.2">
      <c r="A73" s="129" t="s">
        <v>94</v>
      </c>
      <c r="B73" s="130" t="s">
        <v>95</v>
      </c>
      <c r="C73" s="130">
        <v>0.21668899999999999</v>
      </c>
      <c r="D73" s="128">
        <v>11537280</v>
      </c>
    </row>
    <row r="74" spans="1:6" x14ac:dyDescent="0.2">
      <c r="A74" s="129"/>
      <c r="B74" s="130"/>
      <c r="C74" s="130"/>
      <c r="D74" s="128"/>
    </row>
    <row r="75" spans="1:6" x14ac:dyDescent="0.2">
      <c r="A75" s="129"/>
      <c r="B75" s="130"/>
      <c r="C75" s="130"/>
      <c r="D75" s="128"/>
      <c r="E75" s="74">
        <f>+C73*D73/100</f>
        <v>25000.016659200002</v>
      </c>
    </row>
    <row r="76" spans="1:6" x14ac:dyDescent="0.2">
      <c r="A76" s="129"/>
      <c r="B76" s="130"/>
      <c r="C76" s="130"/>
      <c r="D76" s="128"/>
    </row>
    <row r="77" spans="1:6" x14ac:dyDescent="0.2">
      <c r="A77" s="129"/>
      <c r="B77" s="130"/>
      <c r="C77" s="130"/>
      <c r="D77" s="128"/>
    </row>
    <row r="78" spans="1:6" x14ac:dyDescent="0.2">
      <c r="A78" t="s">
        <v>97</v>
      </c>
      <c r="C78">
        <f>+E78/D78</f>
        <v>1.5065687690845302E-2</v>
      </c>
      <c r="D78">
        <v>663823</v>
      </c>
      <c r="E78" s="74">
        <v>10000.950000000001</v>
      </c>
      <c r="F78" s="50" t="s">
        <v>212</v>
      </c>
    </row>
    <row r="80" spans="1:6" x14ac:dyDescent="0.2">
      <c r="B80" t="s">
        <v>98</v>
      </c>
      <c r="E80" s="74">
        <f>SUM(E3:E79)</f>
        <v>212954.30295931001</v>
      </c>
    </row>
    <row r="82" spans="2:5" x14ac:dyDescent="0.2">
      <c r="B82" t="s">
        <v>99</v>
      </c>
      <c r="E82" s="74">
        <f>+'Pension Funds'!I51</f>
        <v>155629.09</v>
      </c>
    </row>
    <row r="85" spans="2:5" ht="13.5" thickBot="1" x14ac:dyDescent="0.25">
      <c r="B85" s="57" t="s">
        <v>100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215</v>
      </c>
      <c r="C1" s="109" t="s">
        <v>216</v>
      </c>
      <c r="D1" s="109" t="s">
        <v>217</v>
      </c>
      <c r="E1" s="109" t="s">
        <v>218</v>
      </c>
      <c r="F1" s="109" t="s">
        <v>219</v>
      </c>
      <c r="G1" s="109" t="s">
        <v>280</v>
      </c>
      <c r="H1" s="110" t="s">
        <v>220</v>
      </c>
      <c r="I1" s="111" t="s">
        <v>251</v>
      </c>
      <c r="J1" s="111" t="s">
        <v>268</v>
      </c>
      <c r="K1" s="111" t="s">
        <v>271</v>
      </c>
    </row>
    <row r="2" spans="1:11" ht="13.5" hidden="1" customHeight="1" outlineLevel="2" x14ac:dyDescent="0.2">
      <c r="A2" s="85"/>
      <c r="B2" s="79" t="s">
        <v>221</v>
      </c>
      <c r="C2" s="79" t="s">
        <v>222</v>
      </c>
      <c r="D2" s="79" t="s">
        <v>129</v>
      </c>
      <c r="E2" s="79" t="s">
        <v>223</v>
      </c>
      <c r="F2" s="80">
        <v>20000</v>
      </c>
      <c r="G2" s="80">
        <v>5223.91</v>
      </c>
      <c r="H2" s="86" t="s">
        <v>224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252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221</v>
      </c>
      <c r="C4" s="82" t="s">
        <v>222</v>
      </c>
      <c r="D4" s="82" t="s">
        <v>225</v>
      </c>
      <c r="E4" s="82" t="s">
        <v>226</v>
      </c>
      <c r="F4" s="83">
        <v>18831</v>
      </c>
      <c r="G4" s="83">
        <v>11166.78</v>
      </c>
      <c r="H4" s="88" t="s">
        <v>224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221</v>
      </c>
      <c r="C5" s="79" t="s">
        <v>222</v>
      </c>
      <c r="D5" s="79" t="s">
        <v>225</v>
      </c>
      <c r="E5" s="79" t="s">
        <v>226</v>
      </c>
      <c r="F5" s="80">
        <v>5000</v>
      </c>
      <c r="G5" s="80">
        <v>2965</v>
      </c>
      <c r="H5" s="86" t="s">
        <v>224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253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221</v>
      </c>
      <c r="C7" s="82" t="s">
        <v>222</v>
      </c>
      <c r="D7" s="82" t="s">
        <v>227</v>
      </c>
      <c r="E7" s="82" t="s">
        <v>228</v>
      </c>
      <c r="F7" s="83">
        <v>1000</v>
      </c>
      <c r="G7" s="83">
        <v>2117.5</v>
      </c>
      <c r="H7" s="88" t="s">
        <v>224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221</v>
      </c>
      <c r="C8" s="79" t="s">
        <v>222</v>
      </c>
      <c r="D8" s="79" t="s">
        <v>227</v>
      </c>
      <c r="E8" s="79" t="s">
        <v>228</v>
      </c>
      <c r="F8" s="80">
        <v>2000</v>
      </c>
      <c r="G8" s="80">
        <v>4235</v>
      </c>
      <c r="H8" s="86" t="s">
        <v>224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221</v>
      </c>
      <c r="C9" s="82" t="s">
        <v>222</v>
      </c>
      <c r="D9" s="82" t="s">
        <v>227</v>
      </c>
      <c r="E9" s="82" t="s">
        <v>228</v>
      </c>
      <c r="F9" s="83">
        <v>1000</v>
      </c>
      <c r="G9" s="83">
        <v>2117.5</v>
      </c>
      <c r="H9" s="88" t="s">
        <v>224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254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221</v>
      </c>
      <c r="C11" s="79" t="s">
        <v>222</v>
      </c>
      <c r="D11" s="79" t="s">
        <v>229</v>
      </c>
      <c r="E11" s="79" t="s">
        <v>230</v>
      </c>
      <c r="F11" s="80">
        <v>541166</v>
      </c>
      <c r="G11" s="80">
        <v>3791.41</v>
      </c>
      <c r="H11" s="86" t="s">
        <v>224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255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221</v>
      </c>
      <c r="C13" s="82" t="s">
        <v>222</v>
      </c>
      <c r="D13" s="82" t="s">
        <v>231</v>
      </c>
      <c r="E13" s="82" t="s">
        <v>232</v>
      </c>
      <c r="F13" s="84">
        <v>400</v>
      </c>
      <c r="G13" s="83">
        <v>4640</v>
      </c>
      <c r="H13" s="88" t="s">
        <v>224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221</v>
      </c>
      <c r="C14" s="79" t="s">
        <v>222</v>
      </c>
      <c r="D14" s="79" t="s">
        <v>231</v>
      </c>
      <c r="E14" s="79" t="s">
        <v>232</v>
      </c>
      <c r="F14" s="81">
        <v>200</v>
      </c>
      <c r="G14" s="80">
        <v>2320</v>
      </c>
      <c r="H14" s="86" t="s">
        <v>224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221</v>
      </c>
      <c r="C15" s="82" t="s">
        <v>222</v>
      </c>
      <c r="D15" s="82" t="s">
        <v>231</v>
      </c>
      <c r="E15" s="82" t="s">
        <v>232</v>
      </c>
      <c r="F15" s="84">
        <v>200</v>
      </c>
      <c r="G15" s="83">
        <v>2320</v>
      </c>
      <c r="H15" s="88" t="s">
        <v>224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256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221</v>
      </c>
      <c r="C17" s="79" t="s">
        <v>222</v>
      </c>
      <c r="D17" s="79" t="s">
        <v>77</v>
      </c>
      <c r="E17" s="79" t="s">
        <v>233</v>
      </c>
      <c r="F17" s="80">
        <v>2445473</v>
      </c>
      <c r="G17" s="80">
        <v>3232.92</v>
      </c>
      <c r="H17" s="86" t="s">
        <v>224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257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221</v>
      </c>
      <c r="C19" s="82" t="s">
        <v>222</v>
      </c>
      <c r="D19" s="82" t="s">
        <v>234</v>
      </c>
      <c r="E19" s="82" t="s">
        <v>235</v>
      </c>
      <c r="F19" s="83">
        <v>1916</v>
      </c>
      <c r="G19" s="83">
        <v>3487.12</v>
      </c>
      <c r="H19" s="88" t="s">
        <v>224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258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221</v>
      </c>
      <c r="C21" s="79" t="s">
        <v>222</v>
      </c>
      <c r="D21" s="79" t="s">
        <v>236</v>
      </c>
      <c r="E21" s="79" t="s">
        <v>237</v>
      </c>
      <c r="F21" s="80">
        <v>5464</v>
      </c>
      <c r="G21" s="80">
        <v>12425.14</v>
      </c>
      <c r="H21" s="86" t="s">
        <v>224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259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221</v>
      </c>
      <c r="C23" s="82" t="s">
        <v>222</v>
      </c>
      <c r="D23" s="82" t="s">
        <v>83</v>
      </c>
      <c r="E23" s="82" t="s">
        <v>238</v>
      </c>
      <c r="F23" s="83">
        <v>122508</v>
      </c>
      <c r="G23" s="83">
        <v>7007.58</v>
      </c>
      <c r="H23" s="88" t="s">
        <v>224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221</v>
      </c>
      <c r="C24" s="79" t="s">
        <v>222</v>
      </c>
      <c r="D24" s="79" t="s">
        <v>83</v>
      </c>
      <c r="E24" s="79" t="s">
        <v>238</v>
      </c>
      <c r="F24" s="80">
        <v>122508</v>
      </c>
      <c r="G24" s="80">
        <v>7007.58</v>
      </c>
      <c r="H24" s="86" t="s">
        <v>224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260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221</v>
      </c>
      <c r="C26" s="82" t="s">
        <v>222</v>
      </c>
      <c r="D26" s="82" t="s">
        <v>239</v>
      </c>
      <c r="E26" s="82" t="s">
        <v>240</v>
      </c>
      <c r="F26" s="83">
        <v>1887945</v>
      </c>
      <c r="G26" s="83">
        <v>10006.11</v>
      </c>
      <c r="H26" s="88" t="s">
        <v>224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261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221</v>
      </c>
      <c r="C28" s="79" t="s">
        <v>222</v>
      </c>
      <c r="D28" s="79" t="s">
        <v>241</v>
      </c>
      <c r="E28" s="79" t="s">
        <v>242</v>
      </c>
      <c r="F28" s="80">
        <v>2000</v>
      </c>
      <c r="G28" s="80">
        <v>4886</v>
      </c>
      <c r="H28" s="86" t="s">
        <v>224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221</v>
      </c>
      <c r="C29" s="82" t="s">
        <v>222</v>
      </c>
      <c r="D29" s="82" t="s">
        <v>241</v>
      </c>
      <c r="E29" s="82" t="s">
        <v>242</v>
      </c>
      <c r="F29" s="83">
        <v>9111</v>
      </c>
      <c r="G29" s="83">
        <v>22258.17</v>
      </c>
      <c r="H29" s="88" t="s">
        <v>224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221</v>
      </c>
      <c r="C30" s="79" t="s">
        <v>222</v>
      </c>
      <c r="D30" s="79" t="s">
        <v>241</v>
      </c>
      <c r="E30" s="79" t="s">
        <v>242</v>
      </c>
      <c r="F30" s="80">
        <v>2000</v>
      </c>
      <c r="G30" s="80">
        <v>4886</v>
      </c>
      <c r="H30" s="86" t="s">
        <v>224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262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221</v>
      </c>
      <c r="C32" s="82" t="s">
        <v>222</v>
      </c>
      <c r="D32" s="82" t="s">
        <v>243</v>
      </c>
      <c r="E32" s="82" t="s">
        <v>244</v>
      </c>
      <c r="F32" s="83">
        <v>2000</v>
      </c>
      <c r="G32" s="83">
        <v>4444</v>
      </c>
      <c r="H32" s="88" t="s">
        <v>224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221</v>
      </c>
      <c r="C33" s="79" t="s">
        <v>222</v>
      </c>
      <c r="D33" s="79" t="s">
        <v>243</v>
      </c>
      <c r="E33" s="79" t="s">
        <v>244</v>
      </c>
      <c r="F33" s="80">
        <v>2000</v>
      </c>
      <c r="G33" s="80">
        <v>4444</v>
      </c>
      <c r="H33" s="86" t="s">
        <v>224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263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221</v>
      </c>
      <c r="C35" s="82" t="s">
        <v>222</v>
      </c>
      <c r="D35" s="82" t="s">
        <v>245</v>
      </c>
      <c r="E35" s="82" t="s">
        <v>246</v>
      </c>
      <c r="F35" s="83">
        <v>3000</v>
      </c>
      <c r="G35" s="83">
        <v>4687.5</v>
      </c>
      <c r="H35" s="88" t="s">
        <v>224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264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221</v>
      </c>
      <c r="C37" s="79" t="s">
        <v>222</v>
      </c>
      <c r="D37" s="79" t="s">
        <v>247</v>
      </c>
      <c r="E37" s="79" t="s">
        <v>248</v>
      </c>
      <c r="F37" s="80">
        <v>27275</v>
      </c>
      <c r="G37" s="80">
        <v>7154.1</v>
      </c>
      <c r="H37" s="86" t="s">
        <v>224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265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221</v>
      </c>
      <c r="C39" s="90" t="s">
        <v>222</v>
      </c>
      <c r="D39" s="90" t="s">
        <v>249</v>
      </c>
      <c r="E39" s="90" t="s">
        <v>250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266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267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272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269</v>
      </c>
      <c r="G45">
        <v>161793.46</v>
      </c>
    </row>
    <row r="46" spans="1:11" ht="13.5" customHeight="1" x14ac:dyDescent="0.2">
      <c r="E46" t="s">
        <v>270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H17" sqref="H17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63</v>
      </c>
      <c r="C1" t="s">
        <v>302</v>
      </c>
      <c r="D1" t="s">
        <v>268</v>
      </c>
      <c r="E1" t="s">
        <v>303</v>
      </c>
      <c r="G1" t="s">
        <v>304</v>
      </c>
      <c r="H1" t="s">
        <v>305</v>
      </c>
      <c r="I1" t="s">
        <v>306</v>
      </c>
      <c r="J1" t="s">
        <v>307</v>
      </c>
    </row>
    <row r="2" spans="1:11" x14ac:dyDescent="0.2">
      <c r="A2" s="117" t="s">
        <v>225</v>
      </c>
      <c r="B2" s="117" t="s">
        <v>298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229</v>
      </c>
      <c r="B3" s="117" t="s">
        <v>298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310</v>
      </c>
    </row>
    <row r="4" spans="1:11" x14ac:dyDescent="0.2">
      <c r="A4" s="117" t="s">
        <v>77</v>
      </c>
      <c r="B4" s="117" t="s">
        <v>298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236</v>
      </c>
      <c r="B5" s="117" t="s">
        <v>298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299</v>
      </c>
      <c r="B6" s="117" t="s">
        <v>298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300</v>
      </c>
      <c r="B7" s="117" t="s">
        <v>298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239</v>
      </c>
      <c r="B8" s="117" t="s">
        <v>298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241</v>
      </c>
      <c r="B9" s="117" t="s">
        <v>298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301</v>
      </c>
      <c r="B10" s="117" t="s">
        <v>298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309</v>
      </c>
    </row>
    <row r="11" spans="1:11" x14ac:dyDescent="0.2">
      <c r="A11" s="117" t="s">
        <v>247</v>
      </c>
      <c r="B11" s="117" t="s">
        <v>298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249</v>
      </c>
      <c r="B12" s="117" t="s">
        <v>298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308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269</v>
      </c>
      <c r="H17" s="2">
        <v>129712.55</v>
      </c>
    </row>
    <row r="20" spans="1:9" x14ac:dyDescent="0.2">
      <c r="E20" s="50" t="s">
        <v>356</v>
      </c>
      <c r="F20" s="50" t="s">
        <v>150</v>
      </c>
      <c r="G20" s="50" t="s">
        <v>357</v>
      </c>
      <c r="H20" s="50" t="s">
        <v>209</v>
      </c>
      <c r="I20" s="50" t="s">
        <v>210</v>
      </c>
    </row>
    <row r="21" spans="1:9" x14ac:dyDescent="0.2">
      <c r="A21" s="116" t="s">
        <v>311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352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331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325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338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340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313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345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348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355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349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353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351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354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314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314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350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350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350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324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323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323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324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163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316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317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318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332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333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334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327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342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343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328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346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347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319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335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336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337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344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326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329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339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320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321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322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315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312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341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330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358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Pension Funds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User</cp:lastModifiedBy>
  <cp:lastPrinted>2016-06-06T10:57:45Z</cp:lastPrinted>
  <dcterms:created xsi:type="dcterms:W3CDTF">2010-10-15T07:41:57Z</dcterms:created>
  <dcterms:modified xsi:type="dcterms:W3CDTF">2016-06-06T10:59:50Z</dcterms:modified>
</cp:coreProperties>
</file>