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M\MMC SSAS\Inbound\"/>
    </mc:Choice>
  </mc:AlternateContent>
  <bookViews>
    <workbookView xWindow="0" yWindow="0" windowWidth="25200" windowHeight="11985" tabRatio="688"/>
  </bookViews>
  <sheets>
    <sheet name="Pension Funds" sheetId="1" r:id="rId1"/>
    <sheet name="Receipts and payments 2017" sheetId="9" r:id="rId2"/>
    <sheet name="Receipts &amp; Payments 2016" sheetId="7" r:id="rId3"/>
    <sheet name="Receipts &amp; Payments 2015" sheetId="5" r:id="rId4"/>
    <sheet name="Contribution History" sheetId="3" r:id="rId5"/>
    <sheet name="Share costs 5-4-15" sheetId="4" r:id="rId6"/>
    <sheet name="Share value 5-4-15" sheetId="6" r:id="rId7"/>
    <sheet name="Share value 5-4-16" sheetId="8" r:id="rId8"/>
    <sheet name="Share account 5-4-17" sheetId="10" r:id="rId9"/>
  </sheets>
  <definedNames>
    <definedName name="_xlnm.Print_Area" localSheetId="0">'Pension Funds'!$A$1:$W$79</definedName>
  </definedNames>
  <calcPr calcId="152511"/>
</workbook>
</file>

<file path=xl/calcChain.xml><?xml version="1.0" encoding="utf-8"?>
<calcChain xmlns="http://schemas.openxmlformats.org/spreadsheetml/2006/main">
  <c r="G30" i="1" l="1"/>
  <c r="G42" i="9" l="1"/>
  <c r="J43" i="9"/>
  <c r="I44" i="9"/>
  <c r="I45" i="9"/>
  <c r="I46" i="9"/>
  <c r="J47" i="9"/>
  <c r="J48" i="9"/>
  <c r="J49" i="9"/>
  <c r="K50" i="9"/>
  <c r="J51" i="9"/>
  <c r="J52" i="9"/>
  <c r="K53" i="9"/>
  <c r="H54" i="9"/>
  <c r="H55" i="9"/>
  <c r="I56" i="9"/>
  <c r="I57" i="9"/>
  <c r="J58" i="9"/>
  <c r="J59" i="9"/>
  <c r="J60" i="9"/>
  <c r="J61" i="9"/>
  <c r="J62" i="9"/>
  <c r="J63" i="9"/>
  <c r="J64" i="9"/>
  <c r="I65" i="9"/>
  <c r="J66" i="9"/>
  <c r="J67" i="9"/>
  <c r="I68" i="9"/>
  <c r="J69" i="9"/>
  <c r="I70" i="9"/>
  <c r="I71" i="9"/>
  <c r="J72" i="9"/>
  <c r="I73" i="9"/>
  <c r="I74" i="9"/>
  <c r="J75" i="9"/>
  <c r="J76" i="9"/>
  <c r="J77" i="9"/>
  <c r="J78" i="9"/>
  <c r="I79" i="9"/>
  <c r="J80" i="9"/>
  <c r="I81" i="9"/>
  <c r="J82" i="9"/>
  <c r="H83" i="9"/>
  <c r="J84" i="9"/>
  <c r="J85" i="9"/>
  <c r="J86" i="9"/>
  <c r="J87" i="9"/>
  <c r="L88" i="9"/>
  <c r="F90" i="9"/>
  <c r="F91" i="9"/>
  <c r="H92" i="9" s="1"/>
  <c r="H91" i="9"/>
  <c r="D100" i="9"/>
  <c r="D110" i="9" s="1"/>
  <c r="D101" i="9"/>
  <c r="D102" i="9"/>
  <c r="D103" i="9"/>
  <c r="D104" i="9"/>
  <c r="D105" i="9"/>
  <c r="D106" i="9"/>
  <c r="D107" i="9"/>
  <c r="D108" i="9"/>
  <c r="C110" i="9"/>
  <c r="F25" i="1"/>
  <c r="N103" i="10"/>
  <c r="N102" i="10"/>
  <c r="L118" i="10"/>
  <c r="L117" i="10"/>
  <c r="N101" i="10"/>
  <c r="N100" i="10"/>
  <c r="F42" i="1"/>
  <c r="F41" i="1"/>
  <c r="K122" i="10"/>
  <c r="K111" i="10"/>
  <c r="M41" i="10"/>
  <c r="M40" i="10" s="1"/>
  <c r="F23" i="1"/>
  <c r="G93" i="10"/>
  <c r="G82" i="10"/>
  <c r="D23" i="3" l="1"/>
  <c r="D12" i="3"/>
  <c r="D4" i="3"/>
  <c r="F39" i="1" l="1"/>
  <c r="F60" i="1"/>
  <c r="E36" i="1" l="1"/>
  <c r="F70" i="1" l="1"/>
  <c r="G56" i="1"/>
  <c r="F43" i="1"/>
  <c r="F36" i="1"/>
  <c r="G90" i="1" s="1"/>
  <c r="F28" i="1"/>
  <c r="F17" i="1"/>
  <c r="F16" i="1"/>
  <c r="E70" i="1" s="1"/>
  <c r="J34" i="9"/>
  <c r="I34" i="9"/>
  <c r="H34" i="9"/>
  <c r="G34" i="9"/>
  <c r="F34" i="9"/>
  <c r="E34" i="9"/>
  <c r="D34" i="9"/>
  <c r="C34" i="9"/>
  <c r="H19" i="9"/>
  <c r="G19" i="9"/>
  <c r="F19" i="9"/>
  <c r="E19" i="9"/>
  <c r="D19" i="9"/>
  <c r="C19" i="9"/>
  <c r="R11" i="9"/>
  <c r="Q9" i="9"/>
  <c r="Q8" i="9"/>
  <c r="O8" i="9"/>
  <c r="R8" i="9" s="1"/>
  <c r="Q7" i="9"/>
  <c r="Q10" i="9" s="1"/>
  <c r="Q13" i="9" s="1"/>
  <c r="R6" i="9"/>
  <c r="F19" i="1" l="1"/>
  <c r="E75" i="1"/>
  <c r="G70" i="1"/>
  <c r="G75" i="1"/>
  <c r="L34" i="9"/>
  <c r="O9" i="9" s="1"/>
  <c r="R9" i="9" s="1"/>
  <c r="L19" i="9"/>
  <c r="O7" i="9" s="1"/>
  <c r="R7" i="9" s="1"/>
  <c r="G89" i="1" l="1"/>
  <c r="G91" i="1" s="1"/>
  <c r="O10" i="9"/>
  <c r="O13" i="9" s="1"/>
  <c r="R10" i="9"/>
  <c r="J39" i="1"/>
  <c r="O8" i="7" l="1"/>
  <c r="J34" i="7"/>
  <c r="Q8" i="7"/>
  <c r="J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 s="1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 l="1"/>
  <c r="G75" i="8"/>
  <c r="I5" i="8"/>
  <c r="J5" i="8" s="1"/>
  <c r="I7" i="8"/>
  <c r="J7" i="8" s="1"/>
  <c r="I75" i="8"/>
  <c r="J41" i="1" s="1"/>
  <c r="H75" i="8"/>
  <c r="J42" i="1" s="1"/>
  <c r="I10" i="8"/>
  <c r="J10" i="8" s="1"/>
  <c r="H16" i="8"/>
  <c r="J51" i="1" s="1"/>
  <c r="I9" i="8"/>
  <c r="J9" i="8" s="1"/>
  <c r="G16" i="8"/>
  <c r="I2" i="8"/>
  <c r="J2" i="8" s="1"/>
  <c r="I6" i="8"/>
  <c r="J6" i="8" s="1"/>
  <c r="I4" i="8"/>
  <c r="J4" i="8" s="1"/>
  <c r="I11" i="8"/>
  <c r="J11" i="8" s="1"/>
  <c r="I8" i="8"/>
  <c r="J8" i="8" s="1"/>
  <c r="I14" i="8"/>
  <c r="J14" i="8" s="1"/>
  <c r="I3" i="8"/>
  <c r="J3" i="8" s="1"/>
  <c r="I12" i="8"/>
  <c r="J12" i="8" s="1"/>
  <c r="I16" i="8" l="1"/>
  <c r="J16" i="8" s="1"/>
  <c r="Q11" i="3" l="1"/>
  <c r="T10" i="3" s="1"/>
  <c r="Q3" i="3"/>
  <c r="T2" i="3" s="1"/>
  <c r="T23" i="3" s="1"/>
  <c r="E10" i="3"/>
  <c r="E2" i="3"/>
  <c r="E4" i="3" l="1"/>
  <c r="C5" i="3" s="1"/>
  <c r="E12" i="3"/>
  <c r="C14" i="3" s="1"/>
  <c r="E23" i="3"/>
  <c r="D16" i="7"/>
  <c r="C110" i="7" l="1"/>
  <c r="D108" i="7"/>
  <c r="D107" i="7"/>
  <c r="D106" i="7"/>
  <c r="D105" i="7"/>
  <c r="D104" i="7"/>
  <c r="D103" i="7"/>
  <c r="D102" i="7"/>
  <c r="D101" i="7"/>
  <c r="D100" i="7"/>
  <c r="D110" i="7" l="1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I34" i="1" s="1"/>
  <c r="H34" i="7"/>
  <c r="G34" i="7"/>
  <c r="F34" i="7"/>
  <c r="E34" i="7"/>
  <c r="I32" i="1" s="1"/>
  <c r="D34" i="7"/>
  <c r="I36" i="1" s="1"/>
  <c r="C34" i="7"/>
  <c r="H19" i="7"/>
  <c r="G19" i="7"/>
  <c r="F19" i="7"/>
  <c r="E19" i="7"/>
  <c r="D19" i="7"/>
  <c r="C19" i="7"/>
  <c r="R11" i="7"/>
  <c r="Q9" i="7"/>
  <c r="R8" i="7"/>
  <c r="R6" i="7"/>
  <c r="K56" i="1"/>
  <c r="J43" i="1"/>
  <c r="J17" i="1"/>
  <c r="J70" i="1" s="1"/>
  <c r="J16" i="1"/>
  <c r="J36" i="1" l="1"/>
  <c r="K90" i="1" s="1"/>
  <c r="Q7" i="7"/>
  <c r="Q10" i="7" s="1"/>
  <c r="Q13" i="7" s="1"/>
  <c r="J27" i="1"/>
  <c r="J19" i="1"/>
  <c r="K89" i="1" s="1"/>
  <c r="L34" i="7"/>
  <c r="O9" i="7" s="1"/>
  <c r="R9" i="7" s="1"/>
  <c r="L19" i="7"/>
  <c r="O7" i="7" s="1"/>
  <c r="I70" i="1"/>
  <c r="K70" i="1" s="1"/>
  <c r="K91" i="1" l="1"/>
  <c r="J28" i="1"/>
  <c r="K30" i="1"/>
  <c r="I75" i="1"/>
  <c r="K75" i="1" s="1"/>
  <c r="L88" i="7"/>
  <c r="F90" i="7" s="1"/>
  <c r="O10" i="7"/>
  <c r="O13" i="7" s="1"/>
  <c r="R7" i="7"/>
  <c r="R10" i="7" s="1"/>
  <c r="N25" i="1"/>
  <c r="AI85" i="1" l="1"/>
  <c r="AI84" i="1"/>
  <c r="AE85" i="1"/>
  <c r="AE84" i="1"/>
  <c r="K42" i="6"/>
  <c r="J42" i="6"/>
  <c r="F42" i="6"/>
  <c r="K39" i="6"/>
  <c r="K37" i="6"/>
  <c r="K35" i="6"/>
  <c r="K33" i="6"/>
  <c r="K32" i="6"/>
  <c r="K30" i="6"/>
  <c r="K29" i="6"/>
  <c r="K28" i="6"/>
  <c r="K26" i="6"/>
  <c r="K24" i="6"/>
  <c r="K23" i="6"/>
  <c r="K21" i="6"/>
  <c r="K19" i="6"/>
  <c r="K17" i="6"/>
  <c r="K15" i="6"/>
  <c r="K14" i="6"/>
  <c r="K13" i="6"/>
  <c r="K11" i="6"/>
  <c r="K9" i="6"/>
  <c r="K8" i="6"/>
  <c r="K7" i="6"/>
  <c r="I39" i="6"/>
  <c r="I37" i="6"/>
  <c r="I35" i="6"/>
  <c r="I33" i="6"/>
  <c r="I32" i="6"/>
  <c r="I30" i="6"/>
  <c r="I29" i="6"/>
  <c r="I28" i="6"/>
  <c r="I26" i="6"/>
  <c r="I24" i="6"/>
  <c r="I23" i="6"/>
  <c r="I21" i="6"/>
  <c r="I19" i="6"/>
  <c r="I17" i="6"/>
  <c r="I15" i="6"/>
  <c r="I14" i="6"/>
  <c r="I13" i="6"/>
  <c r="I11" i="6"/>
  <c r="I9" i="6"/>
  <c r="I8" i="6"/>
  <c r="I7" i="6"/>
  <c r="G40" i="6"/>
  <c r="F40" i="6"/>
  <c r="G38" i="6"/>
  <c r="I38" i="6" s="1"/>
  <c r="F38" i="6"/>
  <c r="G36" i="6"/>
  <c r="F36" i="6"/>
  <c r="G34" i="6"/>
  <c r="I34" i="6" s="1"/>
  <c r="F34" i="6"/>
  <c r="G31" i="6"/>
  <c r="F31" i="6"/>
  <c r="G27" i="6"/>
  <c r="F27" i="6"/>
  <c r="G25" i="6"/>
  <c r="I25" i="6" s="1"/>
  <c r="F25" i="6"/>
  <c r="G22" i="6"/>
  <c r="I22" i="6" s="1"/>
  <c r="F22" i="6"/>
  <c r="G20" i="6"/>
  <c r="F20" i="6"/>
  <c r="G18" i="6"/>
  <c r="I18" i="6" s="1"/>
  <c r="F18" i="6"/>
  <c r="G16" i="6"/>
  <c r="F16" i="6"/>
  <c r="G12" i="6"/>
  <c r="F12" i="6"/>
  <c r="G10" i="6"/>
  <c r="I10" i="6" s="1"/>
  <c r="F10" i="6"/>
  <c r="G6" i="6"/>
  <c r="I6" i="6" s="1"/>
  <c r="F6" i="6"/>
  <c r="G3" i="6"/>
  <c r="F3" i="6"/>
  <c r="F41" i="6" s="1"/>
  <c r="D85" i="4"/>
  <c r="I5" i="6"/>
  <c r="I4" i="6"/>
  <c r="I2" i="6"/>
  <c r="I27" i="6" l="1"/>
  <c r="I31" i="6"/>
  <c r="I12" i="6"/>
  <c r="I16" i="6"/>
  <c r="I20" i="6"/>
  <c r="I36" i="6"/>
  <c r="I40" i="6"/>
  <c r="G41" i="6"/>
  <c r="G43" i="6" s="1"/>
  <c r="I3" i="6"/>
  <c r="F43" i="6"/>
  <c r="G46" i="6" l="1"/>
  <c r="F108" i="5"/>
  <c r="F91" i="7"/>
  <c r="N51" i="1"/>
  <c r="N50" i="1"/>
  <c r="M35" i="1"/>
  <c r="I34" i="5"/>
  <c r="M34" i="1" s="1"/>
  <c r="H34" i="5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K70" i="5"/>
  <c r="J69" i="5"/>
  <c r="J68" i="5"/>
  <c r="K67" i="5"/>
  <c r="J66" i="5"/>
  <c r="J65" i="5"/>
  <c r="J64" i="5"/>
  <c r="I63" i="5"/>
  <c r="I62" i="5"/>
  <c r="I61" i="5"/>
  <c r="J60" i="5"/>
  <c r="G59" i="5"/>
  <c r="G105" i="5" s="1"/>
  <c r="I54" i="5"/>
  <c r="H54" i="5"/>
  <c r="G54" i="5"/>
  <c r="I47" i="5"/>
  <c r="F48" i="5"/>
  <c r="F42" i="5"/>
  <c r="E43" i="5"/>
  <c r="E48" i="5" s="1"/>
  <c r="F50" i="5" s="1"/>
  <c r="E46" i="5"/>
  <c r="I39" i="5"/>
  <c r="R8" i="5"/>
  <c r="Q9" i="5"/>
  <c r="R11" i="5"/>
  <c r="R6" i="5"/>
  <c r="C25" i="5"/>
  <c r="G34" i="5"/>
  <c r="F34" i="5"/>
  <c r="E34" i="5"/>
  <c r="M32" i="1" s="1"/>
  <c r="D34" i="5"/>
  <c r="M36" i="1" s="1"/>
  <c r="C34" i="5"/>
  <c r="H19" i="5"/>
  <c r="G19" i="5"/>
  <c r="F19" i="5"/>
  <c r="Q7" i="5" s="1"/>
  <c r="E19" i="5"/>
  <c r="D19" i="5"/>
  <c r="C19" i="5"/>
  <c r="Q10" i="5" l="1"/>
  <c r="Q13" i="5" s="1"/>
  <c r="N22" i="1"/>
  <c r="K105" i="5"/>
  <c r="N23" i="1" s="1"/>
  <c r="H105" i="5"/>
  <c r="M33" i="1" s="1"/>
  <c r="J105" i="5"/>
  <c r="N42" i="1" s="1"/>
  <c r="I105" i="5"/>
  <c r="N41" i="1" s="1"/>
  <c r="O56" i="1"/>
  <c r="L34" i="5"/>
  <c r="O9" i="5" s="1"/>
  <c r="R9" i="5" s="1"/>
  <c r="L19" i="5"/>
  <c r="O7" i="5" s="1"/>
  <c r="S56" i="1"/>
  <c r="L105" i="5" l="1"/>
  <c r="R7" i="5"/>
  <c r="R10" i="5" s="1"/>
  <c r="O10" i="5"/>
  <c r="O13" i="5" s="1"/>
  <c r="AE80" i="1" l="1"/>
  <c r="N36" i="1"/>
  <c r="E82" i="4"/>
  <c r="C78" i="4"/>
  <c r="E5" i="4"/>
  <c r="J3" i="6" s="1"/>
  <c r="E10" i="4"/>
  <c r="J6" i="6" s="1"/>
  <c r="K6" i="6" s="1"/>
  <c r="E15" i="4"/>
  <c r="J12" i="6" s="1"/>
  <c r="K12" i="6" s="1"/>
  <c r="E20" i="4"/>
  <c r="J10" i="6" s="1"/>
  <c r="K10" i="6" s="1"/>
  <c r="E25" i="4"/>
  <c r="J16" i="6" s="1"/>
  <c r="K16" i="6" s="1"/>
  <c r="E30" i="4"/>
  <c r="J18" i="6" s="1"/>
  <c r="K18" i="6" s="1"/>
  <c r="E35" i="4"/>
  <c r="J20" i="6" s="1"/>
  <c r="K20" i="6" s="1"/>
  <c r="E40" i="4"/>
  <c r="J22" i="6" s="1"/>
  <c r="K22" i="6" s="1"/>
  <c r="E45" i="4"/>
  <c r="J25" i="6" s="1"/>
  <c r="K25" i="6" s="1"/>
  <c r="E50" i="4"/>
  <c r="J27" i="6" s="1"/>
  <c r="K27" i="6" s="1"/>
  <c r="E55" i="4"/>
  <c r="J31" i="6" s="1"/>
  <c r="K31" i="6" s="1"/>
  <c r="E60" i="4"/>
  <c r="J34" i="6" s="1"/>
  <c r="K34" i="6" s="1"/>
  <c r="E65" i="4"/>
  <c r="J36" i="6" s="1"/>
  <c r="K36" i="6" s="1"/>
  <c r="E70" i="4"/>
  <c r="J38" i="6" s="1"/>
  <c r="K38" i="6" s="1"/>
  <c r="E75" i="4"/>
  <c r="J40" i="6" s="1"/>
  <c r="K40" i="6" s="1"/>
  <c r="E80" i="4" l="1"/>
  <c r="J43" i="6"/>
  <c r="K43" i="6" s="1"/>
  <c r="K3" i="6"/>
  <c r="N39" i="1"/>
  <c r="N43" i="1" s="1"/>
  <c r="H91" i="7" l="1"/>
  <c r="H92" i="7" s="1"/>
  <c r="H108" i="5"/>
  <c r="H109" i="5" s="1"/>
  <c r="E85" i="4"/>
  <c r="N26" i="1" s="1"/>
  <c r="N48" i="1"/>
  <c r="N16" i="1"/>
  <c r="J48" i="1" l="1"/>
  <c r="F48" i="1" s="1"/>
  <c r="F52" i="1" s="1"/>
  <c r="F62" i="1" s="1"/>
  <c r="N52" i="1"/>
  <c r="F4" i="3"/>
  <c r="C6" i="3" s="1"/>
  <c r="M75" i="1"/>
  <c r="O75" i="1" s="1"/>
  <c r="M70" i="1"/>
  <c r="N28" i="1"/>
  <c r="N17" i="1"/>
  <c r="F12" i="3" s="1"/>
  <c r="AD62" i="1"/>
  <c r="AD24" i="1"/>
  <c r="AD23" i="1"/>
  <c r="AD28" i="1" s="1"/>
  <c r="V24" i="1"/>
  <c r="V23" i="1"/>
  <c r="R23" i="1"/>
  <c r="R25" i="1"/>
  <c r="R28" i="1" s="1"/>
  <c r="R27" i="1"/>
  <c r="Q36" i="1"/>
  <c r="J52" i="1" l="1"/>
  <c r="J62" i="1" s="1"/>
  <c r="F23" i="3"/>
  <c r="C15" i="3"/>
  <c r="N19" i="1"/>
  <c r="O30" i="1" s="1"/>
  <c r="N54" i="1"/>
  <c r="N62" i="1" s="1"/>
  <c r="N70" i="1"/>
  <c r="O70" i="1" s="1"/>
  <c r="R43" i="1"/>
  <c r="R36" i="1"/>
  <c r="Q75" i="1" s="1"/>
  <c r="S75" i="1" s="1"/>
  <c r="R17" i="1"/>
  <c r="R16" i="1"/>
  <c r="V25" i="1"/>
  <c r="U36" i="1"/>
  <c r="V17" i="1"/>
  <c r="H10" i="3" s="1"/>
  <c r="H12" i="3" s="1"/>
  <c r="V16" i="1"/>
  <c r="H2" i="3" s="1"/>
  <c r="U32" i="1"/>
  <c r="V39" i="1"/>
  <c r="V43" i="1" s="1"/>
  <c r="U70" i="1"/>
  <c r="V28" i="1"/>
  <c r="P12" i="3"/>
  <c r="O12" i="3"/>
  <c r="N12" i="3"/>
  <c r="M12" i="3"/>
  <c r="L12" i="3"/>
  <c r="K12" i="3"/>
  <c r="J12" i="3"/>
  <c r="I12" i="3"/>
  <c r="P4" i="3"/>
  <c r="O4" i="3"/>
  <c r="N4" i="3"/>
  <c r="M4" i="3"/>
  <c r="L4" i="3"/>
  <c r="K4" i="3"/>
  <c r="J4" i="3"/>
  <c r="I4" i="3"/>
  <c r="Z50" i="1"/>
  <c r="Z17" i="1"/>
  <c r="Z70" i="1" s="1"/>
  <c r="Z16" i="1"/>
  <c r="AD79" i="1"/>
  <c r="AC79" i="1"/>
  <c r="AG79" i="1"/>
  <c r="Z56" i="1"/>
  <c r="AH79" i="1"/>
  <c r="AI52" i="1"/>
  <c r="AI59" i="1"/>
  <c r="AI43" i="1"/>
  <c r="AH32" i="1"/>
  <c r="AI36" i="1" s="1"/>
  <c r="AH36" i="1"/>
  <c r="AI8" i="1"/>
  <c r="G82" i="1" s="1"/>
  <c r="AI11" i="1"/>
  <c r="AI14" i="1"/>
  <c r="AI17" i="1"/>
  <c r="AI62" i="1" l="1"/>
  <c r="Z54" i="1"/>
  <c r="K82" i="1"/>
  <c r="AI82" i="1"/>
  <c r="AE82" i="1"/>
  <c r="AA82" i="1"/>
  <c r="W82" i="1"/>
  <c r="S82" i="1"/>
  <c r="O82" i="1"/>
  <c r="I23" i="3"/>
  <c r="M23" i="3"/>
  <c r="J23" i="3"/>
  <c r="N23" i="3"/>
  <c r="K23" i="3"/>
  <c r="O23" i="3"/>
  <c r="L23" i="3"/>
  <c r="P23" i="3"/>
  <c r="H4" i="3"/>
  <c r="Z36" i="1"/>
  <c r="Y75" i="1" s="1"/>
  <c r="AA75" i="1" s="1"/>
  <c r="Q70" i="1"/>
  <c r="S70" i="1" s="1"/>
  <c r="G2" i="3"/>
  <c r="Q2" i="3" s="1"/>
  <c r="V19" i="1"/>
  <c r="V70" i="1"/>
  <c r="W70" i="1" s="1"/>
  <c r="R70" i="1"/>
  <c r="G10" i="3"/>
  <c r="Q10" i="3" s="1"/>
  <c r="AI19" i="1"/>
  <c r="AI28" i="1" s="1"/>
  <c r="R54" i="1"/>
  <c r="R19" i="1"/>
  <c r="S30" i="1" s="1"/>
  <c r="Z28" i="1"/>
  <c r="Y72" i="1" s="1"/>
  <c r="V36" i="1"/>
  <c r="U75" i="1" s="1"/>
  <c r="W75" i="1" s="1"/>
  <c r="Y70" i="1"/>
  <c r="AA83" i="1" s="1"/>
  <c r="Z19" i="1"/>
  <c r="Z43" i="1"/>
  <c r="Z48" i="1"/>
  <c r="Z52" i="1" s="1"/>
  <c r="Z62" i="1" s="1"/>
  <c r="AI83" i="1" l="1"/>
  <c r="AI86" i="1" s="1"/>
  <c r="S83" i="1"/>
  <c r="O83" i="1"/>
  <c r="K83" i="1" s="1"/>
  <c r="G83" i="1" s="1"/>
  <c r="AE83" i="1"/>
  <c r="AE86" i="1" s="1"/>
  <c r="W83" i="1"/>
  <c r="O85" i="1"/>
  <c r="K85" i="1" s="1"/>
  <c r="AA85" i="1"/>
  <c r="W85" i="1"/>
  <c r="S85" i="1"/>
  <c r="R10" i="3"/>
  <c r="S10" i="3" s="1"/>
  <c r="H23" i="3"/>
  <c r="G12" i="3"/>
  <c r="Q12" i="3"/>
  <c r="G4" i="3"/>
  <c r="C7" i="3" s="1"/>
  <c r="Y78" i="1"/>
  <c r="Z72" i="1"/>
  <c r="Z78" i="1" s="1"/>
  <c r="V48" i="1"/>
  <c r="AA70" i="1"/>
  <c r="G85" i="1" l="1"/>
  <c r="R2" i="3"/>
  <c r="R23" i="3" s="1"/>
  <c r="Q4" i="3"/>
  <c r="Q23" i="3" s="1"/>
  <c r="C8" i="3"/>
  <c r="C16" i="3"/>
  <c r="C17" i="3" s="1"/>
  <c r="G23" i="3"/>
  <c r="AA72" i="1"/>
  <c r="AA84" i="1" s="1"/>
  <c r="AA86" i="1" s="1"/>
  <c r="V52" i="1"/>
  <c r="W50" i="1" s="1"/>
  <c r="R48" i="1"/>
  <c r="AA78" i="1"/>
  <c r="AA79" i="1" s="1"/>
  <c r="AA80" i="1" s="1"/>
  <c r="S2" i="3" l="1"/>
  <c r="S23" i="3" s="1"/>
  <c r="V62" i="1"/>
  <c r="W48" i="1"/>
  <c r="W49" i="1"/>
  <c r="W51" i="1"/>
  <c r="R52" i="1"/>
  <c r="Y79" i="1"/>
  <c r="U72" i="1" s="1"/>
  <c r="U78" i="1" s="1"/>
  <c r="AA81" i="1"/>
  <c r="Z79" i="1"/>
  <c r="V72" i="1" s="1"/>
  <c r="V78" i="1" s="1"/>
  <c r="S48" i="1" l="1"/>
  <c r="R62" i="1"/>
  <c r="S51" i="1"/>
  <c r="S49" i="1"/>
  <c r="S50" i="1"/>
  <c r="W72" i="1"/>
  <c r="W84" i="1" s="1"/>
  <c r="W86" i="1" s="1"/>
  <c r="W78" i="1" l="1"/>
  <c r="V79" i="1" l="1"/>
  <c r="R72" i="1" s="1"/>
  <c r="R78" i="1" s="1"/>
  <c r="W79" i="1"/>
  <c r="W80" i="1" s="1"/>
  <c r="W81" i="1"/>
  <c r="U79" i="1"/>
  <c r="Q72" i="1" s="1"/>
  <c r="Q78" i="1" s="1"/>
  <c r="S72" i="1" l="1"/>
  <c r="S84" i="1" s="1"/>
  <c r="S86" i="1" s="1"/>
  <c r="S78" i="1"/>
  <c r="S79" i="1" s="1"/>
  <c r="S80" i="1" s="1"/>
  <c r="Q79" i="1" l="1"/>
  <c r="M72" i="1" s="1"/>
  <c r="M78" i="1" s="1"/>
  <c r="S81" i="1"/>
  <c r="R79" i="1"/>
  <c r="N72" i="1" s="1"/>
  <c r="N78" i="1" s="1"/>
  <c r="O72" i="1" l="1"/>
  <c r="O84" i="1" s="1"/>
  <c r="O86" i="1" s="1"/>
  <c r="O78" i="1" l="1"/>
  <c r="M79" i="1" s="1"/>
  <c r="I72" i="1" s="1"/>
  <c r="I78" i="1" l="1"/>
  <c r="O26" i="1"/>
  <c r="O79" i="1"/>
  <c r="O80" i="1" s="1"/>
  <c r="N79" i="1"/>
  <c r="J72" i="1" s="1"/>
  <c r="J78" i="1" s="1"/>
  <c r="K72" i="1" l="1"/>
  <c r="K78" i="1"/>
  <c r="K26" i="1" l="1"/>
  <c r="K84" i="1"/>
  <c r="K79" i="1"/>
  <c r="K80" i="1" s="1"/>
  <c r="I79" i="1"/>
  <c r="J79" i="1"/>
  <c r="F72" i="1" l="1"/>
  <c r="F78" i="1" s="1"/>
  <c r="E72" i="1"/>
  <c r="K86" i="1"/>
  <c r="G72" i="1" l="1"/>
  <c r="G84" i="1" s="1"/>
  <c r="G86" i="1" s="1"/>
  <c r="E78" i="1"/>
  <c r="G78" i="1" l="1"/>
  <c r="G26" i="1" s="1"/>
  <c r="G79" i="1" l="1"/>
  <c r="G80" i="1" s="1"/>
  <c r="F79" i="1"/>
  <c r="E79" i="1"/>
</calcChain>
</file>

<file path=xl/comments1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<sst xmlns="http://schemas.openxmlformats.org/spreadsheetml/2006/main" count="1219" uniqueCount="434">
  <si>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</si>
  <si>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</si>
  <si>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</si>
  <si>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</si>
  <si>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</si>
  <si>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</si>
  <si>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</si>
  <si>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</si>
  <si>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</si>
  <si>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</si>
  <si>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</si>
  <si>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</si>
  <si>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</si>
  <si>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</si>
  <si>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</si>
  <si>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</si>
  <si>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</si>
  <si>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</si>
  <si>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</si>
  <si>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</si>
  <si>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</si>
  <si>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</si>
  <si>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</si>
  <si>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</si>
  <si>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</si>
  <si>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</si>
  <si>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</si>
  <si>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</si>
  <si>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</si>
  <si>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</si>
  <si>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</si>
  <si>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</si>
  <si>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</si>
  <si>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</si>
  <si>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</si>
  <si>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</si>
  <si>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</si>
  <si>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</si>
  <si>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</si>
  <si>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</si>
  <si>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</si>
  <si>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</si>
  <si>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</si>
  <si>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</si>
  <si>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</si>
  <si>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</si>
  <si>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</si>
  <si>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</si>
  <si>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</si>
  <si>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</si>
  <si>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</si>
  <si>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</si>
  <si>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</si>
  <si>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</si>
  <si>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</si>
  <si>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from 2014</t>
  </si>
  <si>
    <t>Scrip issues</t>
  </si>
  <si>
    <t>Balance Sheet Of Funds as at 5th April 2015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</si>
  <si>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</si>
  <si>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</si>
  <si>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</si>
  <si>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</si>
  <si>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</si>
  <si>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</si>
  <si>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</si>
  <si>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</si>
  <si>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</si>
  <si>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</si>
  <si>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</si>
  <si>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</si>
  <si>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</si>
  <si>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</si>
  <si>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</si>
  <si>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</si>
  <si>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</si>
  <si>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</si>
  <si>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</si>
  <si>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</si>
  <si>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</si>
  <si>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</si>
  <si>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</si>
  <si>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</si>
  <si>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</si>
  <si>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</si>
  <si>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</si>
  <si>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</si>
  <si>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</si>
  <si>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</si>
  <si>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</si>
  <si>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</si>
  <si>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</si>
  <si>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</si>
  <si>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</si>
  <si>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</si>
  <si>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</si>
  <si>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</si>
  <si>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</si>
  <si>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</si>
  <si>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</si>
  <si>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</si>
  <si>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</si>
  <si>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</si>
  <si>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Land Purchase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</si>
  <si>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</si>
  <si>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</si>
  <si>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</si>
  <si>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</si>
  <si>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</si>
  <si>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</si>
  <si>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</si>
  <si>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</si>
  <si>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</si>
  <si>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</si>
  <si>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</si>
  <si>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</si>
  <si>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</si>
  <si>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</si>
  <si>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</si>
  <si>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</si>
  <si>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</si>
  <si>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</si>
  <si>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</si>
  <si>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</si>
  <si>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</si>
  <si>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</si>
  <si>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</si>
  <si>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</si>
  <si>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</si>
  <si>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</si>
  <si>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</si>
  <si>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</si>
  <si>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</si>
  <si>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</si>
  <si>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</si>
  <si>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</si>
  <si>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</si>
  <si>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</si>
  <si>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</si>
  <si>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</si>
  <si>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</si>
  <si>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</si>
  <si>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</si>
  <si>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</si>
  <si>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</si>
  <si>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</si>
  <si>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</si>
  <si>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</si>
  <si>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</si>
  <si>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</si>
  <si>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</si>
  <si>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</si>
  <si>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</si>
  <si>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</si>
  <si>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</si>
  <si>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</si>
  <si>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</si>
  <si>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</si>
  <si>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</si>
  <si>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</si>
  <si>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</si>
  <si>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</si>
  <si>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</si>
  <si>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</si>
  <si>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</si>
  <si>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</si>
  <si>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</si>
  <si>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</si>
  <si>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</si>
  <si>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</si>
  <si>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</si>
  <si>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</si>
  <si>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</si>
  <si>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</si>
  <si>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</si>
  <si>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</si>
  <si>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</si>
  <si>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</si>
  <si>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</si>
  <si>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</si>
  <si>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</si>
  <si>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</si>
  <si>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</si>
  <si>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</si>
  <si>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</si>
  <si>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</si>
  <si>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</si>
  <si>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</si>
  <si>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</si>
  <si>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</si>
  <si>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</si>
  <si>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</si>
  <si>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</si>
  <si>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</si>
  <si>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</si>
  <si>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</si>
  <si>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</si>
  <si>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</si>
  <si>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</si>
  <si>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</si>
  <si>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</si>
  <si>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</si>
  <si>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</si>
  <si>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</si>
  <si>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</si>
  <si>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</si>
  <si>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</si>
  <si>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</si>
  <si>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</si>
  <si>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</si>
  <si>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</si>
  <si>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</si>
  <si>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</si>
  <si>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</si>
  <si>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</si>
  <si>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</si>
  <si>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</si>
  <si>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</si>
  <si>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</si>
  <si>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</si>
  <si>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</si>
  <si>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</si>
  <si>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</si>
  <si>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</si>
  <si>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</si>
  <si>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</si>
  <si>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</si>
  <si>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</si>
  <si>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</si>
  <si>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</si>
  <si>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</si>
  <si>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</si>
  <si>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</si>
  <si>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</si>
  <si>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</si>
  <si>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</si>
  <si>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</si>
  <si>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</si>
  <si>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</si>
  <si>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</si>
  <si>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</si>
  <si>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</si>
  <si>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</si>
  <si>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</si>
  <si>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</si>
  <si>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</si>
  <si>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</si>
  <si>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</si>
  <si>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</si>
  <si>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</si>
  <si>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</si>
  <si>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</si>
  <si>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</si>
  <si>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</si>
  <si>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</si>
  <si>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</si>
  <si>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</si>
  <si>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</si>
  <si>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</si>
  <si>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</si>
  <si>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</si>
  <si>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</si>
  <si>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</si>
  <si>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</si>
  <si>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</si>
  <si>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</si>
  <si>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</si>
  <si>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</si>
  <si>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</si>
  <si>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</si>
  <si>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</si>
  <si>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</si>
  <si>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</si>
  <si>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</si>
  <si>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</si>
  <si>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</si>
  <si>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</si>
  <si>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</si>
  <si>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</si>
  <si>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Net funds at 5th April 2015</t>
  </si>
  <si>
    <t>period ended 5th April 2014</t>
  </si>
  <si>
    <t>Value at 5/4/15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</si>
  <si>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</si>
  <si>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</si>
  <si>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</si>
  <si>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</si>
  <si>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</si>
  <si>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</si>
  <si>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</si>
  <si>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</si>
  <si>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</si>
  <si>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</si>
  <si>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</si>
  <si>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</si>
  <si>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from 2015</t>
  </si>
  <si>
    <t>from 2016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</si>
  <si>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</si>
  <si>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</si>
  <si>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</si>
  <si>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</si>
  <si>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</si>
  <si>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</si>
  <si>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</si>
  <si>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</si>
  <si>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</si>
  <si>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</si>
  <si>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</si>
  <si>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</si>
  <si>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</si>
  <si>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</si>
  <si>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</si>
  <si>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</si>
  <si>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</si>
  <si>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</si>
  <si>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</si>
  <si>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</si>
  <si>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</si>
  <si>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</si>
  <si>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</si>
  <si>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</si>
  <si>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</si>
  <si>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</si>
  <si>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</si>
  <si>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</si>
  <si>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</si>
  <si>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</si>
  <si>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</si>
  <si>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</si>
  <si>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</si>
  <si>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</si>
  <si>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</si>
  <si>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</si>
  <si>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</si>
  <si>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</si>
  <si>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</si>
  <si>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</si>
  <si>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</si>
  <si>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</si>
  <si>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</si>
  <si>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</si>
  <si>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</si>
  <si>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</si>
  <si>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</si>
  <si>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</si>
  <si>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</si>
  <si>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</si>
  <si>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</si>
  <si>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</si>
  <si>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</si>
  <si>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</si>
  <si>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</si>
  <si>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</si>
  <si>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</si>
  <si>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</si>
  <si>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</si>
  <si>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</si>
  <si>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</si>
  <si>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</si>
  <si>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</si>
  <si>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</si>
  <si>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</si>
  <si>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</si>
  <si>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</si>
  <si>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</si>
  <si>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</si>
  <si>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</si>
  <si>
    <t>Year Ended 5th April 2017</t>
  </si>
  <si>
    <t>1.5 acres</t>
  </si>
  <si>
    <t>19.5 acres</t>
  </si>
  <si>
    <t>MMC SSAS Fund statement for the year ended 5th April 2017</t>
  </si>
  <si>
    <t>Financial Statement</t>
  </si>
  <si>
    <t>Client ID: 6412710</t>
  </si>
  <si>
    <t>06 April 2017 06:59:26 UTC</t>
  </si>
  <si>
    <t>United Kingdom</t>
  </si>
  <si>
    <t>Currency:</t>
  </si>
  <si>
    <t>Period:</t>
  </si>
  <si>
    <t>06-Apr-2016 - 05-Apr-2017</t>
  </si>
  <si>
    <t>(SSAS) Saxo Capital Markets UK Limited (SCML)</t>
  </si>
  <si>
    <t>Bank Street 40</t>
  </si>
  <si>
    <t>E14 5DA London</t>
  </si>
  <si>
    <t>VAT-ID: 07413871</t>
  </si>
  <si>
    <t>Phone no.: +44-02071512000</t>
  </si>
  <si>
    <t>Fax No.: +44-02071512001</t>
  </si>
  <si>
    <t>Account Summary</t>
  </si>
  <si>
    <t>IBAN</t>
  </si>
  <si>
    <t>Start Balance</t>
  </si>
  <si>
    <t>End Balance</t>
  </si>
  <si>
    <t>Start Equity</t>
  </si>
  <si>
    <t>End Equity</t>
  </si>
  <si>
    <t>Client Activity</t>
  </si>
  <si>
    <t>Booking Type</t>
  </si>
  <si>
    <t>Client Debit</t>
  </si>
  <si>
    <t>Client Credit</t>
  </si>
  <si>
    <t>[Client Custody Fee]</t>
  </si>
  <si>
    <t>Corporate Actions - Cash Dividends</t>
  </si>
  <si>
    <t>Corporate Actions - Fractions</t>
  </si>
  <si>
    <t>Trading Activity in Cash Products</t>
  </si>
  <si>
    <t>Buy Txn Booked Amt</t>
  </si>
  <si>
    <t>Bought</t>
  </si>
  <si>
    <t>Sell Txn Booked Amt</t>
  </si>
  <si>
    <t>Sold</t>
  </si>
  <si>
    <t>Total Booked</t>
  </si>
  <si>
    <t>**See BOS:xlon (Bos Global Holdings NL)</t>
  </si>
  <si>
    <t>Share Amount</t>
  </si>
  <si>
    <t>Barratt Developments Plc</t>
  </si>
  <si>
    <t>Commission</t>
  </si>
  <si>
    <t>[UK Stamp Duty]</t>
  </si>
  <si>
    <t>Bos Global Holdings Ltd</t>
  </si>
  <si>
    <t>[UK PTM Levy]</t>
  </si>
  <si>
    <t>Glencore Plc</t>
  </si>
  <si>
    <t>Value</t>
  </si>
  <si>
    <t>*Delisted 20161129 (Xcite Energy)</t>
  </si>
  <si>
    <t>GB0000811801</t>
  </si>
  <si>
    <t>AU000XINEAC2</t>
  </si>
  <si>
    <t>IE00BZ4BTZ13</t>
  </si>
  <si>
    <t>GB00B7N0K053</t>
  </si>
  <si>
    <t>GB00BYNBFN51</t>
  </si>
  <si>
    <t>Share Holdings as at 05-April-2017</t>
  </si>
  <si>
    <t>Shares Sold</t>
  </si>
  <si>
    <t>Product</t>
  </si>
  <si>
    <t>B/S</t>
  </si>
  <si>
    <t>Instrument currency</t>
  </si>
  <si>
    <t>Order Type</t>
  </si>
  <si>
    <t>Value Date</t>
  </si>
  <si>
    <t>Price</t>
  </si>
  <si>
    <t>Traded Value</t>
  </si>
  <si>
    <t>Booked amount</t>
  </si>
  <si>
    <t>N/A</t>
  </si>
  <si>
    <t>shares sold</t>
  </si>
  <si>
    <t>shares bought</t>
  </si>
  <si>
    <t>Glencore</t>
  </si>
  <si>
    <t>Premier</t>
  </si>
  <si>
    <t>Centamin</t>
  </si>
  <si>
    <t>Cost 5/4/16</t>
  </si>
  <si>
    <t>Profit on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</si>
</sst>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rebuchet MS"/>
      <family val="2"/>
    </font>
    <font>
      <sz val="10"/>
      <name val="Trebuchet MS"/>
      <family val="2"/>
    </font>
    <font>
      <b/>
      <sz val="13.5"/>
      <name val="Trebuchet MS"/>
      <family val="2"/>
    </font>
    <font>
      <i/>
      <sz val="6"/>
      <color rgb="FFCCCCCC"/>
      <name val="Trebuchet MS"/>
      <family val="2"/>
    </font>
    <font>
      <b/>
      <sz val="10"/>
      <color rgb="FFFFFFFF"/>
      <name val="Arial"/>
      <family val="2"/>
    </font>
    <font>
      <b/>
      <sz val="10"/>
      <name val="Trebuchet MS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0" fillId="8" borderId="0" xfId="0" applyFill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right" vertical="center" wrapText="1"/>
    </xf>
    <xf numFmtId="0" fontId="16" fillId="9" borderId="6" xfId="0" applyFont="1" applyFill="1" applyBorder="1" applyAlignment="1">
      <alignment horizontal="right" vertical="center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right" vertical="top" wrapText="1"/>
    </xf>
    <xf numFmtId="4" fontId="16" fillId="8" borderId="10" xfId="0" applyNumberFormat="1" applyFont="1" applyFill="1" applyBorder="1" applyAlignment="1">
      <alignment horizontal="right" vertical="top" wrapText="1"/>
    </xf>
    <xf numFmtId="0" fontId="16" fillId="8" borderId="11" xfId="0" applyFont="1" applyFill="1" applyBorder="1" applyAlignment="1">
      <alignment horizontal="right" vertical="top" wrapText="1"/>
    </xf>
    <xf numFmtId="4" fontId="20" fillId="8" borderId="0" xfId="0" applyNumberFormat="1" applyFont="1" applyFill="1" applyAlignment="1">
      <alignment horizontal="right" vertical="top" wrapText="1"/>
    </xf>
    <xf numFmtId="0" fontId="0" fillId="8" borderId="0" xfId="0" applyFill="1"/>
    <xf numFmtId="0" fontId="21" fillId="8" borderId="0" xfId="0" applyFont="1" applyFill="1" applyAlignment="1">
      <alignment horizontal="left" vertical="top" wrapText="1"/>
    </xf>
    <xf numFmtId="0" fontId="20" fillId="8" borderId="7" xfId="0" applyFont="1" applyFill="1" applyBorder="1" applyAlignment="1">
      <alignment horizontal="left" vertical="top" wrapText="1"/>
    </xf>
    <xf numFmtId="0" fontId="20" fillId="8" borderId="8" xfId="0" applyFont="1" applyFill="1" applyBorder="1" applyAlignment="1">
      <alignment horizontal="right" vertical="top" wrapText="1"/>
    </xf>
    <xf numFmtId="0" fontId="0" fillId="8" borderId="8" xfId="0" applyFill="1" applyBorder="1"/>
    <xf numFmtId="4" fontId="16" fillId="8" borderId="0" xfId="0" applyNumberFormat="1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 wrapText="1"/>
    </xf>
    <xf numFmtId="0" fontId="0" fillId="9" borderId="0" xfId="0" applyFill="1" applyAlignment="1">
      <alignment horizontal="left" vertical="top" wrapText="1"/>
    </xf>
    <xf numFmtId="4" fontId="1" fillId="9" borderId="0" xfId="0" applyNumberFormat="1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right" vertical="top" wrapText="1"/>
    </xf>
    <xf numFmtId="4" fontId="20" fillId="8" borderId="5" xfId="0" applyNumberFormat="1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right" vertical="top" wrapText="1"/>
    </xf>
    <xf numFmtId="0" fontId="16" fillId="8" borderId="7" xfId="0" applyFont="1" applyFill="1" applyBorder="1" applyAlignment="1">
      <alignment horizontal="left" vertical="top" wrapText="1"/>
    </xf>
    <xf numFmtId="0" fontId="16" fillId="8" borderId="8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0" fillId="9" borderId="10" xfId="0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right" vertical="top" wrapText="1"/>
    </xf>
    <xf numFmtId="0" fontId="1" fillId="9" borderId="11" xfId="0" applyFont="1" applyFill="1" applyBorder="1" applyAlignment="1">
      <alignment horizontal="right" vertical="top" wrapText="1"/>
    </xf>
    <xf numFmtId="0" fontId="1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righ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right" vertical="center" wrapText="1"/>
    </xf>
    <xf numFmtId="4" fontId="1" fillId="9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right" vertical="top" wrapText="1"/>
    </xf>
    <xf numFmtId="0" fontId="2" fillId="9" borderId="7" xfId="0" applyFont="1" applyFill="1" applyBorder="1" applyAlignment="1">
      <alignment horizontal="left" vertical="top" wrapText="1"/>
    </xf>
    <xf numFmtId="0" fontId="22" fillId="0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2" fillId="0" borderId="1" xfId="0" applyFont="1" applyFill="1" applyBorder="1" applyProtection="1"/>
    <xf numFmtId="0" fontId="0" fillId="7" borderId="0" xfId="0" applyFill="1" applyProtection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6" fillId="8" borderId="0" xfId="0" applyFont="1" applyFill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0" fillId="0" borderId="10" xfId="0" applyBorder="1"/>
    <xf numFmtId="0" fontId="0" fillId="8" borderId="9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0" fillId="8" borderId="0" xfId="0" applyFont="1" applyFill="1" applyAlignment="1">
      <alignment horizontal="left" vertical="top" wrapText="1"/>
    </xf>
    <xf numFmtId="0" fontId="18" fillId="0" borderId="0" xfId="0" applyFont="1" applyAlignment="1">
      <alignment horizontal="right"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0</xdr:row>
      <xdr:rowOff>476250</xdr:rowOff>
    </xdr:to>
    <xdr:pic>
      <xdr:nvPicPr>
        <xdr:cNvPr id="3" name="Picture 2" descr="https://www.onlinewebconnect.com/CSWeb/Theming/Logos/Client/64127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91"/>
  <sheetViews>
    <sheetView tabSelected="1" workbookViewId="0">
      <pane xSplit="3" ySplit="4" topLeftCell="D68" activePane="bottomRight" state="frozen"/>
      <selection pane="topRight" activeCell="G1" sqref="G1"/>
      <selection pane="bottomLeft" activeCell="A5" sqref="A5"/>
      <selection pane="bottomRight" activeCell="G31" sqref="G31"/>
    </sheetView>
  </sheetViews>
  <sheetFormatPr defaultRowHeight="12.75" x14ac:dyDescent="0.2"/>
  <cols>
    <col min="1" max="1" width="3.42578125" customWidth="1"/>
    <col min="2" max="2" width="24" bestFit="1" customWidth="1"/>
    <col min="3" max="3" width="36.28515625" customWidth="1"/>
    <col min="4" max="4" width="2" customWidth="1"/>
    <col min="5" max="5" width="11.28515625" bestFit="1" customWidth="1"/>
    <col min="6" max="6" width="14.42578125" bestFit="1" customWidth="1"/>
    <col min="7" max="7" width="12.28515625" customWidth="1"/>
    <col min="8" max="8" width="2" customWidth="1"/>
    <col min="9" max="9" width="11.28515625" bestFit="1" customWidth="1"/>
    <col min="10" max="10" width="14.42578125" bestFit="1" customWidth="1"/>
    <col min="11" max="11" width="12.28515625" customWidth="1"/>
    <col min="12" max="12" width="2" customWidth="1"/>
    <col min="13" max="13" width="11.28515625" bestFit="1" customWidth="1"/>
    <col min="14" max="14" width="14.42578125" bestFit="1" customWidth="1"/>
    <col min="15" max="15" width="12.28515625" customWidth="1"/>
    <col min="16" max="16" width="2" customWidth="1"/>
    <col min="17" max="17" width="15.7109375" customWidth="1"/>
    <col min="18" max="18" width="18" customWidth="1"/>
    <col min="19" max="19" width="14.85546875" customWidth="1"/>
    <col min="20" max="20" width="3.7109375" customWidth="1"/>
    <col min="21" max="21" width="15.7109375" customWidth="1"/>
    <col min="22" max="22" width="18" customWidth="1"/>
    <col min="23" max="23" width="12.5703125" customWidth="1"/>
    <col min="24" max="24" width="4.140625" customWidth="1"/>
    <col min="25" max="25" width="11.28515625" style="6" bestFit="1" customWidth="1"/>
    <col min="26" max="26" width="15.5703125" style="6" customWidth="1"/>
    <col min="27" max="27" width="11.42578125" style="6" bestFit="1" customWidth="1"/>
    <col min="28" max="28" width="3.28515625" style="6" customWidth="1"/>
    <col min="29" max="29" width="11.42578125" customWidth="1"/>
    <col min="30" max="30" width="14.140625" customWidth="1"/>
    <col min="31" max="31" width="13" style="1" customWidth="1"/>
    <col min="32" max="32" width="2.28515625" customWidth="1"/>
    <col min="33" max="33" width="11.28515625" bestFit="1" customWidth="1"/>
    <col min="34" max="34" width="11.28515625" style="3" customWidth="1"/>
    <col min="35" max="35" width="11.28515625" style="6" customWidth="1"/>
  </cols>
  <sheetData>
    <row r="1" spans="2:35" ht="18" x14ac:dyDescent="0.25">
      <c r="B1" s="9" t="s">
        <v>368</v>
      </c>
      <c r="AD1" s="1"/>
      <c r="AE1"/>
      <c r="AG1" s="2"/>
    </row>
    <row r="2" spans="2:35" x14ac:dyDescent="0.2">
      <c r="B2" s="1"/>
      <c r="F2" s="7" t="s">
        <v>35</v>
      </c>
      <c r="J2" s="7" t="s">
        <v>35</v>
      </c>
      <c r="N2" s="7" t="s">
        <v>35</v>
      </c>
      <c r="R2" s="7" t="s">
        <v>35</v>
      </c>
      <c r="V2" s="7" t="s">
        <v>35</v>
      </c>
      <c r="Y2" s="43"/>
      <c r="Z2" s="44" t="s">
        <v>35</v>
      </c>
      <c r="AA2" s="43"/>
      <c r="AC2" s="10"/>
      <c r="AD2" s="33" t="s">
        <v>35</v>
      </c>
      <c r="AE2" s="10"/>
      <c r="AG2" s="11"/>
      <c r="AH2" s="12"/>
      <c r="AI2" s="13" t="s">
        <v>1</v>
      </c>
    </row>
    <row r="3" spans="2:35" x14ac:dyDescent="0.2">
      <c r="F3" s="7">
        <v>2017</v>
      </c>
      <c r="J3" s="7">
        <v>2016</v>
      </c>
      <c r="N3" s="7">
        <v>2015</v>
      </c>
      <c r="R3" s="7">
        <v>2014</v>
      </c>
      <c r="V3" s="7">
        <v>2013</v>
      </c>
      <c r="Y3" s="43"/>
      <c r="Z3" s="44">
        <v>2012</v>
      </c>
      <c r="AA3" s="43"/>
      <c r="AC3" s="10"/>
      <c r="AD3" s="33">
        <v>2011</v>
      </c>
      <c r="AE3" s="10"/>
      <c r="AG3" s="11"/>
      <c r="AH3" s="12"/>
      <c r="AI3" s="14">
        <v>2010</v>
      </c>
    </row>
    <row r="4" spans="2:35" x14ac:dyDescent="0.2">
      <c r="E4" s="32" t="s">
        <v>2</v>
      </c>
      <c r="F4" s="7" t="s">
        <v>2</v>
      </c>
      <c r="G4" s="32" t="s">
        <v>2</v>
      </c>
      <c r="I4" s="32" t="s">
        <v>2</v>
      </c>
      <c r="J4" s="7" t="s">
        <v>2</v>
      </c>
      <c r="K4" s="32" t="s">
        <v>2</v>
      </c>
      <c r="M4" s="32" t="s">
        <v>2</v>
      </c>
      <c r="N4" s="7" t="s">
        <v>2</v>
      </c>
      <c r="O4" s="32" t="s">
        <v>2</v>
      </c>
      <c r="Q4" s="32" t="s">
        <v>2</v>
      </c>
      <c r="R4" s="7" t="s">
        <v>2</v>
      </c>
      <c r="S4" s="32" t="s">
        <v>2</v>
      </c>
      <c r="T4" s="32"/>
      <c r="U4" s="32" t="s">
        <v>2</v>
      </c>
      <c r="V4" s="7" t="s">
        <v>2</v>
      </c>
      <c r="W4" s="32" t="s">
        <v>2</v>
      </c>
      <c r="X4" s="32"/>
      <c r="Y4" s="44" t="s">
        <v>2</v>
      </c>
      <c r="Z4" s="44" t="s">
        <v>2</v>
      </c>
      <c r="AA4" s="44" t="s">
        <v>2</v>
      </c>
      <c r="AB4" s="35"/>
      <c r="AC4" s="33" t="s">
        <v>2</v>
      </c>
      <c r="AD4" s="33" t="s">
        <v>2</v>
      </c>
      <c r="AE4" s="33" t="s">
        <v>2</v>
      </c>
      <c r="AF4" s="32"/>
      <c r="AG4" s="34"/>
      <c r="AH4" s="16" t="s">
        <v>2</v>
      </c>
      <c r="AI4" s="13" t="s">
        <v>2</v>
      </c>
    </row>
    <row r="5" spans="2:35" x14ac:dyDescent="0.2">
      <c r="B5" s="1" t="s">
        <v>3</v>
      </c>
      <c r="Y5" s="43"/>
      <c r="Z5" s="43"/>
      <c r="AA5" s="43"/>
      <c r="AC5" s="28"/>
      <c r="AD5" s="28"/>
      <c r="AE5" s="28"/>
      <c r="AG5" s="15"/>
      <c r="AH5" s="11"/>
      <c r="AI5" s="13"/>
    </row>
    <row r="6" spans="2:35" x14ac:dyDescent="0.2">
      <c r="B6" s="1" t="s">
        <v>4</v>
      </c>
      <c r="R6" s="2"/>
      <c r="V6" s="2"/>
      <c r="Y6" s="43"/>
      <c r="Z6" s="43"/>
      <c r="AA6" s="43"/>
      <c r="AC6" s="28"/>
      <c r="AD6" s="28"/>
      <c r="AE6" s="28"/>
      <c r="AG6" s="15"/>
      <c r="AH6" s="11"/>
      <c r="AI6" s="13"/>
    </row>
    <row r="7" spans="2:35" x14ac:dyDescent="0.2">
      <c r="C7" t="s">
        <v>42</v>
      </c>
      <c r="F7" s="2"/>
      <c r="J7" s="2"/>
      <c r="N7" s="2"/>
      <c r="R7" s="2"/>
      <c r="V7" s="2"/>
      <c r="Y7" s="43"/>
      <c r="Z7" s="45"/>
      <c r="AA7" s="43"/>
      <c r="AC7" s="28"/>
      <c r="AD7" s="28"/>
      <c r="AE7" s="28"/>
      <c r="AG7" s="11"/>
      <c r="AH7" s="11">
        <v>167392.64000000001</v>
      </c>
      <c r="AI7" s="13"/>
    </row>
    <row r="8" spans="2:35" x14ac:dyDescent="0.2">
      <c r="C8" t="s">
        <v>29</v>
      </c>
      <c r="F8" s="2"/>
      <c r="J8" s="2"/>
      <c r="N8" s="2"/>
      <c r="R8" s="2"/>
      <c r="V8" s="2"/>
      <c r="Y8" s="43"/>
      <c r="Z8" s="45"/>
      <c r="AA8" s="43"/>
      <c r="AC8" s="28"/>
      <c r="AD8" s="28"/>
      <c r="AE8" s="28"/>
      <c r="AG8" s="11"/>
      <c r="AH8" s="11">
        <v>29090.25</v>
      </c>
      <c r="AI8" s="13">
        <f>+AH7+AH8</f>
        <v>196482.89</v>
      </c>
    </row>
    <row r="9" spans="2:35" x14ac:dyDescent="0.2">
      <c r="B9" s="1" t="s">
        <v>5</v>
      </c>
      <c r="F9" s="2"/>
      <c r="J9" s="2"/>
      <c r="N9" s="2"/>
      <c r="R9" s="2"/>
      <c r="V9" s="2"/>
      <c r="Y9" s="43"/>
      <c r="Z9" s="45"/>
      <c r="AA9" s="43"/>
      <c r="AC9" s="28"/>
      <c r="AD9" s="28"/>
      <c r="AE9" s="28"/>
      <c r="AG9" s="11"/>
      <c r="AH9" s="11"/>
      <c r="AI9" s="13"/>
    </row>
    <row r="10" spans="2:35" x14ac:dyDescent="0.2">
      <c r="C10" t="s">
        <v>42</v>
      </c>
      <c r="F10" s="2">
        <v>6400</v>
      </c>
      <c r="J10" s="2">
        <v>1250</v>
      </c>
      <c r="N10" s="2">
        <v>1250</v>
      </c>
      <c r="R10" s="2">
        <v>120</v>
      </c>
      <c r="V10" s="2">
        <v>3500</v>
      </c>
      <c r="Y10" s="43"/>
      <c r="Z10" s="45">
        <v>13200</v>
      </c>
      <c r="AA10" s="43"/>
      <c r="AC10" s="28"/>
      <c r="AD10" s="28">
        <v>26500</v>
      </c>
      <c r="AE10" s="28"/>
      <c r="AG10" s="11"/>
      <c r="AH10" s="11">
        <v>24665</v>
      </c>
      <c r="AI10" s="13"/>
    </row>
    <row r="11" spans="2:35" x14ac:dyDescent="0.2">
      <c r="C11" t="s">
        <v>29</v>
      </c>
      <c r="F11" s="2">
        <v>6400</v>
      </c>
      <c r="J11" s="2">
        <v>6250</v>
      </c>
      <c r="N11" s="2">
        <v>6550</v>
      </c>
      <c r="R11" s="2">
        <v>5990</v>
      </c>
      <c r="V11" s="2">
        <v>3500</v>
      </c>
      <c r="Y11" s="43"/>
      <c r="Z11" s="45">
        <v>7755</v>
      </c>
      <c r="AA11" s="43"/>
      <c r="AC11" s="28"/>
      <c r="AD11" s="28">
        <v>5275</v>
      </c>
      <c r="AE11" s="28"/>
      <c r="AG11" s="11"/>
      <c r="AH11" s="11">
        <v>4472</v>
      </c>
      <c r="AI11" s="13">
        <f>+AH10+AH11</f>
        <v>29137</v>
      </c>
    </row>
    <row r="12" spans="2:35" x14ac:dyDescent="0.2">
      <c r="B12" s="1" t="s">
        <v>6</v>
      </c>
      <c r="F12" s="2"/>
      <c r="J12" s="2"/>
      <c r="N12" s="2"/>
      <c r="R12" s="2"/>
      <c r="V12" s="2"/>
      <c r="Y12" s="43"/>
      <c r="Z12" s="45"/>
      <c r="AA12" s="43"/>
      <c r="AC12" s="28"/>
      <c r="AD12" s="28"/>
      <c r="AE12" s="28"/>
      <c r="AG12" s="11"/>
      <c r="AH12" s="11"/>
      <c r="AI12" s="13"/>
    </row>
    <row r="13" spans="2:35" x14ac:dyDescent="0.2">
      <c r="C13" t="s">
        <v>42</v>
      </c>
      <c r="F13" s="2"/>
      <c r="J13" s="2"/>
      <c r="N13" s="2"/>
      <c r="R13" s="2">
        <v>0</v>
      </c>
      <c r="V13" s="2">
        <v>0</v>
      </c>
      <c r="Y13" s="43"/>
      <c r="Z13" s="45">
        <v>6056.28</v>
      </c>
      <c r="AA13" s="43"/>
      <c r="AC13" s="28"/>
      <c r="AD13" s="28">
        <v>8075.04</v>
      </c>
      <c r="AE13" s="28"/>
      <c r="AG13" s="11"/>
      <c r="AH13" s="11">
        <v>3364.5</v>
      </c>
      <c r="AI13" s="13"/>
    </row>
    <row r="14" spans="2:35" x14ac:dyDescent="0.2">
      <c r="C14" t="s">
        <v>29</v>
      </c>
      <c r="F14" s="2"/>
      <c r="J14" s="2"/>
      <c r="N14" s="2"/>
      <c r="R14" s="2">
        <v>0</v>
      </c>
      <c r="V14" s="2">
        <v>0</v>
      </c>
      <c r="Y14" s="43"/>
      <c r="Z14" s="45"/>
      <c r="AA14" s="43"/>
      <c r="AC14" s="28"/>
      <c r="AD14" s="28">
        <v>2000</v>
      </c>
      <c r="AE14" s="28"/>
      <c r="AG14" s="11"/>
      <c r="AH14" s="11">
        <v>0</v>
      </c>
      <c r="AI14" s="13">
        <f>+AH13+AH14</f>
        <v>3364.5</v>
      </c>
    </row>
    <row r="15" spans="2:35" x14ac:dyDescent="0.2">
      <c r="B15" s="1" t="s">
        <v>7</v>
      </c>
      <c r="F15" s="2"/>
      <c r="J15" s="2"/>
      <c r="N15" s="2"/>
      <c r="R15" s="2"/>
      <c r="V15" s="2"/>
      <c r="Y15" s="43"/>
      <c r="Z15" s="45"/>
      <c r="AA15" s="43"/>
      <c r="AC15" s="28"/>
      <c r="AD15" s="28"/>
      <c r="AE15" s="28"/>
      <c r="AG15" s="11"/>
      <c r="AH15" s="11"/>
      <c r="AI15" s="13"/>
    </row>
    <row r="16" spans="2:35" x14ac:dyDescent="0.2">
      <c r="C16" t="s">
        <v>42</v>
      </c>
      <c r="F16" s="2">
        <f>+F10/0.8*0.2</f>
        <v>1600</v>
      </c>
      <c r="J16" s="2">
        <f>+J10/0.8*0.2</f>
        <v>312.5</v>
      </c>
      <c r="N16" s="2">
        <f>+N10/0.8*0.2</f>
        <v>312.5</v>
      </c>
      <c r="R16" s="2">
        <f>+R10/0.8*0.2</f>
        <v>30</v>
      </c>
      <c r="V16" s="2">
        <f>+V10/0.8*0.2</f>
        <v>875</v>
      </c>
      <c r="Y16" s="43"/>
      <c r="Z16" s="45">
        <f>+Z10/0.8-Z10</f>
        <v>3300</v>
      </c>
      <c r="AA16" s="43"/>
      <c r="AC16" s="28"/>
      <c r="AD16" s="28">
        <v>6625</v>
      </c>
      <c r="AE16" s="28"/>
      <c r="AG16" s="11"/>
      <c r="AH16" s="11">
        <v>6166.25</v>
      </c>
      <c r="AI16" s="13"/>
    </row>
    <row r="17" spans="2:35" x14ac:dyDescent="0.2">
      <c r="C17" t="s">
        <v>29</v>
      </c>
      <c r="F17" s="2">
        <f>+F11/0.8*0.2</f>
        <v>1600</v>
      </c>
      <c r="J17" s="2">
        <f>+J11/0.8*0.2</f>
        <v>1562.5</v>
      </c>
      <c r="N17" s="2">
        <f>+N11/0.8*0.2</f>
        <v>1637.5</v>
      </c>
      <c r="R17" s="2">
        <f>+R11/0.8*0.2</f>
        <v>1497.5</v>
      </c>
      <c r="V17" s="2">
        <f>+V11/0.8*0.2</f>
        <v>875</v>
      </c>
      <c r="Y17" s="43"/>
      <c r="Z17" s="45">
        <f>+Z11/0.8-Z11</f>
        <v>1938.75</v>
      </c>
      <c r="AA17" s="43"/>
      <c r="AC17" s="28"/>
      <c r="AD17" s="28">
        <v>1318.75</v>
      </c>
      <c r="AE17" s="28"/>
      <c r="AG17" s="11"/>
      <c r="AH17" s="17">
        <v>1118</v>
      </c>
      <c r="AI17" s="18">
        <f>+AH16+AH17</f>
        <v>7284.25</v>
      </c>
    </row>
    <row r="18" spans="2:35" x14ac:dyDescent="0.2">
      <c r="R18" s="2"/>
      <c r="V18" s="2"/>
      <c r="Y18" s="43"/>
      <c r="Z18" s="45"/>
      <c r="AA18" s="43"/>
      <c r="AC18" s="28"/>
      <c r="AD18" s="28"/>
      <c r="AE18" s="28"/>
      <c r="AG18" s="11"/>
      <c r="AH18" s="11"/>
      <c r="AI18" s="13"/>
    </row>
    <row r="19" spans="2:35" ht="13.5" thickBot="1" x14ac:dyDescent="0.25">
      <c r="C19" s="1" t="s">
        <v>8</v>
      </c>
      <c r="D19" s="1"/>
      <c r="E19" s="1"/>
      <c r="F19" s="5">
        <f>SUM(F8:F18)</f>
        <v>16000</v>
      </c>
      <c r="G19" s="1"/>
      <c r="H19" s="1"/>
      <c r="I19" s="1"/>
      <c r="J19" s="5">
        <f>SUM(J8:J18)</f>
        <v>9375</v>
      </c>
      <c r="K19" s="1"/>
      <c r="L19" s="1"/>
      <c r="M19" s="1"/>
      <c r="N19" s="5">
        <f>SUM(N8:N18)</f>
        <v>9750</v>
      </c>
      <c r="O19" s="1"/>
      <c r="P19" s="1"/>
      <c r="Q19" s="1"/>
      <c r="R19" s="5">
        <f>SUM(R8:R18)</f>
        <v>7637.5</v>
      </c>
      <c r="S19" s="1"/>
      <c r="T19" s="1"/>
      <c r="U19" s="1"/>
      <c r="V19" s="5">
        <f>SUM(V8:V18)</f>
        <v>8750</v>
      </c>
      <c r="W19" s="1"/>
      <c r="X19" s="1"/>
      <c r="Y19" s="43"/>
      <c r="Z19" s="46">
        <f>SUM(Z8:Z18)</f>
        <v>32250.03</v>
      </c>
      <c r="AA19" s="43"/>
      <c r="AC19" s="28"/>
      <c r="AD19" s="29">
        <v>49793.79</v>
      </c>
      <c r="AE19" s="28"/>
      <c r="AG19" s="11"/>
      <c r="AH19" s="11"/>
      <c r="AI19" s="18">
        <f>SUM(AI8:AI18)</f>
        <v>236268.64</v>
      </c>
    </row>
    <row r="20" spans="2:35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  <c r="S20" s="1"/>
      <c r="T20" s="1"/>
      <c r="U20" s="1"/>
      <c r="V20" s="4"/>
      <c r="W20" s="1"/>
      <c r="X20" s="1"/>
      <c r="Y20" s="43"/>
      <c r="Z20" s="47"/>
      <c r="AA20" s="43"/>
      <c r="AC20" s="28"/>
      <c r="AD20" s="28"/>
      <c r="AE20" s="28"/>
      <c r="AG20" s="11"/>
      <c r="AH20" s="11"/>
      <c r="AI20" s="19"/>
    </row>
    <row r="21" spans="2:35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  <c r="S21" s="1"/>
      <c r="T21" s="1"/>
      <c r="U21" s="1"/>
      <c r="V21" s="4"/>
      <c r="W21" s="1"/>
      <c r="X21" s="1"/>
      <c r="Y21" s="43"/>
      <c r="Z21" s="47"/>
      <c r="AA21" s="43"/>
      <c r="AC21" s="28"/>
      <c r="AD21" s="28"/>
      <c r="AE21" s="28"/>
      <c r="AG21" s="11"/>
      <c r="AH21" s="11"/>
      <c r="AI21" s="19"/>
    </row>
    <row r="22" spans="2:35" x14ac:dyDescent="0.2">
      <c r="C22" t="s">
        <v>34</v>
      </c>
      <c r="F22" s="2">
        <v>2250</v>
      </c>
      <c r="J22" s="2">
        <v>2000</v>
      </c>
      <c r="N22" s="2">
        <f>+'Receipts &amp; Payments 2015'!G105</f>
        <v>1500</v>
      </c>
      <c r="R22" s="60">
        <v>1125</v>
      </c>
      <c r="V22" s="2">
        <v>875</v>
      </c>
      <c r="Y22" s="43"/>
      <c r="Z22" s="45">
        <v>800</v>
      </c>
      <c r="AA22" s="43"/>
      <c r="AC22" s="28"/>
      <c r="AD22" s="28">
        <v>500</v>
      </c>
      <c r="AE22" s="28"/>
      <c r="AG22" s="11"/>
      <c r="AH22" s="12"/>
      <c r="AI22" s="22"/>
    </row>
    <row r="23" spans="2:35" x14ac:dyDescent="0.2">
      <c r="C23" t="s">
        <v>38</v>
      </c>
      <c r="F23" s="2">
        <f>3997.17+2.01</f>
        <v>3999.1800000000003</v>
      </c>
      <c r="J23" s="2">
        <v>6395.9</v>
      </c>
      <c r="N23" s="2">
        <f>+'Receipts &amp; Payments 2015'!K105+'Receipts &amp; Payments 2015'!F42</f>
        <v>1412.7399999999998</v>
      </c>
      <c r="R23" s="2">
        <f>1315.02+17.99</f>
        <v>1333.01</v>
      </c>
      <c r="V23" s="2">
        <f>1.76+304.76+48.34+222.88+158.03+723.84+381.21+132.01+46.17+162.29+1.9+48.24+72.23+149.76+68.85+766.59+19</f>
        <v>3307.86</v>
      </c>
      <c r="Y23" s="43"/>
      <c r="Z23" s="45">
        <v>3174.18</v>
      </c>
      <c r="AA23" s="43"/>
      <c r="AC23" s="28"/>
      <c r="AD23" s="28">
        <f>1350.9+0.94</f>
        <v>1351.8400000000001</v>
      </c>
      <c r="AE23" s="28"/>
      <c r="AG23" s="11"/>
      <c r="AH23" s="12"/>
      <c r="AI23" s="22"/>
    </row>
    <row r="24" spans="2:35" x14ac:dyDescent="0.2">
      <c r="C24" s="50" t="s">
        <v>56</v>
      </c>
      <c r="D24" s="50"/>
      <c r="E24" s="50"/>
      <c r="F24" s="54">
        <v>0</v>
      </c>
      <c r="G24" s="50"/>
      <c r="H24" s="50"/>
      <c r="I24" s="50"/>
      <c r="J24" s="54">
        <v>0</v>
      </c>
      <c r="K24" s="50"/>
      <c r="L24" s="50"/>
      <c r="M24" s="50"/>
      <c r="N24" s="54">
        <v>776.44</v>
      </c>
      <c r="O24" s="50"/>
      <c r="P24" s="50"/>
      <c r="R24" s="2">
        <v>1706.32</v>
      </c>
      <c r="V24" s="2">
        <f>2348.18+110.47</f>
        <v>2458.6499999999996</v>
      </c>
      <c r="Y24" s="43"/>
      <c r="Z24" s="45">
        <v>3364.36</v>
      </c>
      <c r="AA24" s="43"/>
      <c r="AC24" s="28"/>
      <c r="AD24" s="28">
        <f>151.74+127.07</f>
        <v>278.81</v>
      </c>
      <c r="AE24" s="28"/>
      <c r="AG24" s="11"/>
      <c r="AH24" s="12"/>
      <c r="AI24" s="22"/>
    </row>
    <row r="25" spans="2:35" x14ac:dyDescent="0.2">
      <c r="C25" t="s">
        <v>39</v>
      </c>
      <c r="F25" s="2">
        <f>+'Share account 5-4-17'!N103</f>
        <v>25938.606666666667</v>
      </c>
      <c r="J25" s="2">
        <f>+(4242-3458)+(7973.95-5130-2528.84)+(9162.23-8518.12)+(11307.68-9740)+(7418.34-7058)+(1280+6700.64-5000-4997.31)+(8907.75-8494.25)+(9526.46-8948)+(12406.58-4735.27-4605.88)-(1328-3992.52-1070)</f>
        <v>9446.4799999999977</v>
      </c>
      <c r="N25" s="2">
        <f>8559.34+291+12652.24+11723.47+287.18+136.69+20.76+2591.53+123.98+1686+148.4+204+1022+20386.24-221.93</f>
        <v>59610.900000000016</v>
      </c>
      <c r="R25" s="2">
        <f>54.91+430.67+946.89+437.18+379.16+837.14+2512.66+117.04+2540.38+7703.23+5501.7+239.37+20+1658.82+3985.21+2911.23+505.09+674.14+323.53+887.6+890.22+287.94</f>
        <v>33844.109999999993</v>
      </c>
      <c r="V25" s="2">
        <f>-7498.1+59.45+672.92+684.84+279.09+385.71+417.82+59.45+84.41+292.56+302.16+254.82+462.11+95.24+6145.85+796.82+277.05+1258.95+1316.91+1575.84+1517.08+953.83+622.67+2079.55+127.48</f>
        <v>13224.509999999998</v>
      </c>
      <c r="Y25" s="43"/>
      <c r="Z25" s="45">
        <v>19803.34</v>
      </c>
      <c r="AA25" s="43"/>
      <c r="AC25" s="28"/>
      <c r="AD25" s="28">
        <v>24815.73</v>
      </c>
      <c r="AE25" s="28"/>
      <c r="AG25" s="11"/>
      <c r="AH25" s="12"/>
      <c r="AI25" s="22"/>
    </row>
    <row r="26" spans="2:35" x14ac:dyDescent="0.2">
      <c r="C26" t="s">
        <v>52</v>
      </c>
      <c r="F26" s="59">
        <v>-32371.71</v>
      </c>
      <c r="G26" s="8">
        <f>+F62-G78</f>
        <v>-3.7073566927574575E-3</v>
      </c>
      <c r="J26" s="59">
        <v>-25744.959999999999</v>
      </c>
      <c r="K26" s="8">
        <f>+J62-K78</f>
        <v>-1.4781900099478662E-3</v>
      </c>
      <c r="N26" s="59">
        <f>+'Share costs 5-4-15'!E85</f>
        <v>-57325.212959310011</v>
      </c>
      <c r="O26" s="8">
        <f>+N62-O78</f>
        <v>2.9593099607154727E-3</v>
      </c>
      <c r="R26" s="2">
        <v>23045.97</v>
      </c>
      <c r="V26" s="2">
        <v>8729.61</v>
      </c>
      <c r="Y26" s="43"/>
      <c r="Z26" s="45">
        <v>-28899.31</v>
      </c>
      <c r="AA26" s="43"/>
      <c r="AC26" s="28"/>
      <c r="AD26" s="28"/>
      <c r="AE26" s="28"/>
      <c r="AG26" s="11"/>
      <c r="AH26" s="12"/>
      <c r="AI26" s="22"/>
    </row>
    <row r="27" spans="2:35" x14ac:dyDescent="0.2">
      <c r="C27" t="s">
        <v>9</v>
      </c>
      <c r="F27" s="2">
        <v>1.1599999999999999</v>
      </c>
      <c r="J27" s="2">
        <f>+'Receipts &amp; Payments 2016'!F19</f>
        <v>5.9099999999999993</v>
      </c>
      <c r="N27" s="2">
        <v>8.83</v>
      </c>
      <c r="R27" s="2">
        <f>5.36+1.07</f>
        <v>6.4300000000000006</v>
      </c>
      <c r="V27" s="2">
        <v>198.47</v>
      </c>
      <c r="Y27" s="43"/>
      <c r="Z27" s="45">
        <v>206.44</v>
      </c>
      <c r="AA27" s="43"/>
      <c r="AC27" s="28"/>
      <c r="AD27" s="28">
        <v>1538.84</v>
      </c>
      <c r="AE27" s="28"/>
      <c r="AG27" s="11"/>
      <c r="AH27" s="12"/>
      <c r="AI27" s="26">
        <v>151.88999999999999</v>
      </c>
    </row>
    <row r="28" spans="2:35" ht="13.5" thickBot="1" x14ac:dyDescent="0.25">
      <c r="C28" s="1" t="s">
        <v>40</v>
      </c>
      <c r="D28" s="1"/>
      <c r="E28" s="1"/>
      <c r="F28" s="5">
        <f>SUM(F22:F27)</f>
        <v>-182.76333333333227</v>
      </c>
      <c r="G28" s="1"/>
      <c r="H28" s="1"/>
      <c r="I28" s="1"/>
      <c r="J28" s="5">
        <f>SUM(J22:J27)</f>
        <v>-7896.6700000000019</v>
      </c>
      <c r="K28" s="1"/>
      <c r="L28" s="1"/>
      <c r="M28" s="1"/>
      <c r="N28" s="5">
        <f>SUM(N22:N27)</f>
        <v>5983.6970406900055</v>
      </c>
      <c r="O28" s="1"/>
      <c r="P28" s="1"/>
      <c r="Q28" s="1"/>
      <c r="R28" s="5">
        <f>SUM(R22:R27)</f>
        <v>61060.84</v>
      </c>
      <c r="S28" s="1"/>
      <c r="T28" s="1"/>
      <c r="U28" s="1"/>
      <c r="V28" s="5">
        <f>SUM(V22:V27)</f>
        <v>28794.1</v>
      </c>
      <c r="W28" s="1"/>
      <c r="X28" s="1"/>
      <c r="Y28" s="43"/>
      <c r="Z28" s="46">
        <f>SUM(Z22:Z27)</f>
        <v>-1550.9900000000002</v>
      </c>
      <c r="AA28" s="43"/>
      <c r="AC28" s="28"/>
      <c r="AD28" s="29">
        <f>SUM(AD22:AD27)</f>
        <v>28485.22</v>
      </c>
      <c r="AE28" s="28"/>
      <c r="AG28" s="11"/>
      <c r="AH28" s="12"/>
      <c r="AI28" s="23">
        <f>+AI19+AI27</f>
        <v>236420.53000000003</v>
      </c>
    </row>
    <row r="29" spans="2:35" ht="13.5" thickTop="1" x14ac:dyDescent="0.2">
      <c r="B29" s="1" t="s">
        <v>10</v>
      </c>
      <c r="G29" t="s">
        <v>214</v>
      </c>
      <c r="K29" t="s">
        <v>214</v>
      </c>
      <c r="O29" t="s">
        <v>214</v>
      </c>
      <c r="R29" s="2"/>
      <c r="S29" t="s">
        <v>214</v>
      </c>
      <c r="V29" s="2"/>
      <c r="Y29" s="43"/>
      <c r="Z29" s="45"/>
      <c r="AA29" s="43"/>
      <c r="AC29" s="28"/>
      <c r="AD29" s="28"/>
      <c r="AE29" s="28"/>
      <c r="AG29" s="11"/>
      <c r="AH29" s="12"/>
      <c r="AI29" s="22"/>
    </row>
    <row r="30" spans="2:35" x14ac:dyDescent="0.2">
      <c r="G30" s="8">
        <f>+F19-F36</f>
        <v>9631.84</v>
      </c>
      <c r="K30" s="8">
        <f>+J19+J22+J23+J24+J27+J36</f>
        <v>24167.590000000004</v>
      </c>
      <c r="O30" s="8">
        <f>+N19+N22+N23+N24+N27+N36</f>
        <v>19915.060000000001</v>
      </c>
      <c r="R30" s="2"/>
      <c r="S30" s="8">
        <f>+R19+R22+R23+R24+R27+R36</f>
        <v>18016.239999999998</v>
      </c>
      <c r="V30" s="2"/>
      <c r="Y30" s="43"/>
      <c r="Z30" s="45"/>
      <c r="AA30" s="43"/>
      <c r="AC30" s="28"/>
      <c r="AD30" s="28"/>
      <c r="AE30" s="28"/>
      <c r="AG30" s="11"/>
      <c r="AH30" s="12"/>
      <c r="AI30" s="22"/>
    </row>
    <row r="31" spans="2:35" x14ac:dyDescent="0.2">
      <c r="C31" t="s">
        <v>11</v>
      </c>
      <c r="R31" s="2"/>
      <c r="V31" s="2"/>
      <c r="Y31" s="43">
        <v>0</v>
      </c>
      <c r="Z31" s="45"/>
      <c r="AA31" s="43"/>
      <c r="AC31" s="28">
        <v>0</v>
      </c>
      <c r="AD31" s="28"/>
      <c r="AE31" s="28"/>
      <c r="AG31" s="11"/>
      <c r="AH31" s="13">
        <v>1175</v>
      </c>
      <c r="AI31" s="22"/>
    </row>
    <row r="32" spans="2:35" x14ac:dyDescent="0.2">
      <c r="C32" t="s">
        <v>12</v>
      </c>
      <c r="E32" s="2">
        <v>1140</v>
      </c>
      <c r="I32" s="2">
        <f>+'Receipts &amp; Payments 2016'!E34</f>
        <v>1140</v>
      </c>
      <c r="M32" s="2">
        <f>+'Receipts &amp; Payments 2015'!E34</f>
        <v>1140</v>
      </c>
      <c r="Q32">
        <v>1140</v>
      </c>
      <c r="R32" s="2"/>
      <c r="U32">
        <f>285+285+285+285</f>
        <v>1140</v>
      </c>
      <c r="V32" s="2"/>
      <c r="Y32" s="45">
        <v>1140</v>
      </c>
      <c r="Z32" s="43"/>
      <c r="AA32" s="43"/>
      <c r="AC32" s="28">
        <v>837.18</v>
      </c>
      <c r="AD32" s="28"/>
      <c r="AE32" s="28"/>
      <c r="AG32" s="11"/>
      <c r="AH32" s="13">
        <f>279.06*2</f>
        <v>558.12</v>
      </c>
      <c r="AI32" s="22"/>
    </row>
    <row r="33" spans="2:35" x14ac:dyDescent="0.2">
      <c r="C33" s="50" t="s">
        <v>101</v>
      </c>
      <c r="E33" s="2">
        <v>162.84</v>
      </c>
      <c r="I33" s="2">
        <v>178.31</v>
      </c>
      <c r="M33" s="2">
        <f>+'Receipts &amp; Payments 2015'!F27+'Receipts &amp; Payments 2015'!E44-'Receipts &amp; Payments 2015'!H105</f>
        <v>253.06</v>
      </c>
      <c r="R33" s="2"/>
      <c r="V33" s="2"/>
      <c r="Y33" s="45"/>
      <c r="Z33" s="43"/>
      <c r="AA33" s="43"/>
      <c r="AC33" s="28"/>
      <c r="AD33" s="28"/>
      <c r="AE33" s="28"/>
      <c r="AG33" s="11"/>
      <c r="AH33" s="13"/>
      <c r="AI33" s="22"/>
    </row>
    <row r="34" spans="2:35" x14ac:dyDescent="0.2">
      <c r="C34" s="6" t="s">
        <v>51</v>
      </c>
      <c r="D34" s="6"/>
      <c r="E34" s="36">
        <v>29</v>
      </c>
      <c r="G34" s="6"/>
      <c r="H34" s="6"/>
      <c r="I34" s="36">
        <f>+'Receipts &amp; Payments 2016'!I34</f>
        <v>29</v>
      </c>
      <c r="K34" s="6"/>
      <c r="L34" s="6"/>
      <c r="M34" s="36">
        <f>+'Receipts &amp; Payments 2015'!I34</f>
        <v>29</v>
      </c>
      <c r="O34" s="6"/>
      <c r="P34" s="6"/>
      <c r="Q34">
        <v>29</v>
      </c>
      <c r="R34" s="2"/>
      <c r="U34">
        <v>61.55</v>
      </c>
      <c r="V34" s="2"/>
      <c r="Y34" s="45"/>
      <c r="Z34" s="43"/>
      <c r="AA34" s="43"/>
      <c r="AC34" s="28"/>
      <c r="AD34" s="28"/>
      <c r="AE34" s="28"/>
      <c r="AG34" s="11"/>
      <c r="AH34" s="13"/>
      <c r="AI34" s="22"/>
    </row>
    <row r="35" spans="2:35" x14ac:dyDescent="0.2">
      <c r="C35" t="s">
        <v>13</v>
      </c>
      <c r="E35" s="2">
        <v>5000</v>
      </c>
      <c r="I35" s="2">
        <v>5000</v>
      </c>
      <c r="M35" s="2">
        <f>+'Receipts &amp; Payments 2015'!H34</f>
        <v>5000</v>
      </c>
      <c r="Q35">
        <v>5000</v>
      </c>
      <c r="R35" s="2"/>
      <c r="U35">
        <v>5000</v>
      </c>
      <c r="V35" s="2"/>
      <c r="Y35" s="45">
        <v>5000</v>
      </c>
      <c r="Z35" s="43"/>
      <c r="AA35" s="43"/>
      <c r="AC35" s="28">
        <v>5000</v>
      </c>
      <c r="AD35" s="28"/>
      <c r="AE35" s="28"/>
      <c r="AG35" s="11"/>
      <c r="AH35" s="13">
        <v>3000</v>
      </c>
      <c r="AI35" s="22"/>
    </row>
    <row r="36" spans="2:35" ht="13.5" thickBot="1" x14ac:dyDescent="0.25">
      <c r="C36" t="s">
        <v>14</v>
      </c>
      <c r="E36" s="59">
        <f>+'Receipts and payments 2017'!D34</f>
        <v>36.32</v>
      </c>
      <c r="F36" s="5">
        <f>+E31+E32+E35+E36+E34+E33</f>
        <v>6368.16</v>
      </c>
      <c r="I36" s="59">
        <f>+'Receipts &amp; Payments 2016'!D34</f>
        <v>43.47</v>
      </c>
      <c r="J36" s="5">
        <f>+I31+I32+I35+I36+I34+I33</f>
        <v>6390.7800000000007</v>
      </c>
      <c r="M36" s="59">
        <f>+'Receipts &amp; Payments 2015'!D34</f>
        <v>44.99</v>
      </c>
      <c r="N36" s="5">
        <f>+M31+M32+M35+M36+M34+M33</f>
        <v>6467.05</v>
      </c>
      <c r="Q36">
        <f>10.13+10.39+9.53+8.93</f>
        <v>38.980000000000004</v>
      </c>
      <c r="R36" s="5">
        <f>+Q31+Q32+Q35+Q36+Q34</f>
        <v>6207.98</v>
      </c>
      <c r="U36">
        <f>11.85+8.93+9.53+11.25</f>
        <v>41.56</v>
      </c>
      <c r="V36" s="5">
        <f>+U31+U32+U35+U36+U34</f>
        <v>6243.1100000000006</v>
      </c>
      <c r="Y36" s="45">
        <v>59.34</v>
      </c>
      <c r="Z36" s="46">
        <f>+Y31+Y32+Y35+Y36</f>
        <v>6199.34</v>
      </c>
      <c r="AA36" s="43"/>
      <c r="AC36" s="28">
        <v>61.14</v>
      </c>
      <c r="AD36" s="29">
        <v>5898.32</v>
      </c>
      <c r="AE36" s="28"/>
      <c r="AG36" s="11"/>
      <c r="AH36" s="21">
        <f>50+12.36</f>
        <v>62.36</v>
      </c>
      <c r="AI36" s="23">
        <f>+AH31+AH32+AH36+AH35</f>
        <v>4795.4799999999996</v>
      </c>
    </row>
    <row r="37" spans="2:35" ht="13.5" thickTop="1" x14ac:dyDescent="0.2">
      <c r="B37" s="1" t="s">
        <v>41</v>
      </c>
      <c r="R37" s="2"/>
      <c r="V37" s="2"/>
      <c r="Y37" s="43"/>
      <c r="Z37" s="43"/>
      <c r="AA37" s="43"/>
      <c r="AC37" s="28"/>
      <c r="AD37" s="28"/>
      <c r="AE37" s="28"/>
      <c r="AG37" s="11"/>
      <c r="AH37" s="12"/>
      <c r="AI37" s="22"/>
    </row>
    <row r="38" spans="2:35" x14ac:dyDescent="0.2">
      <c r="R38" s="2"/>
      <c r="V38" s="2"/>
      <c r="Y38" s="43"/>
      <c r="Z38" s="45"/>
      <c r="AA38" s="43"/>
      <c r="AC38" s="28"/>
      <c r="AD38" s="28"/>
      <c r="AE38" s="28"/>
      <c r="AG38" s="11"/>
      <c r="AH38" s="12"/>
      <c r="AI38" s="22"/>
    </row>
    <row r="39" spans="2:35" x14ac:dyDescent="0.2">
      <c r="C39" t="s">
        <v>15</v>
      </c>
      <c r="E39" s="50" t="s">
        <v>366</v>
      </c>
      <c r="F39" s="2">
        <f>800+24000</f>
        <v>24800</v>
      </c>
      <c r="I39" s="50" t="s">
        <v>276</v>
      </c>
      <c r="J39" s="2">
        <f>180+30000</f>
        <v>30180</v>
      </c>
      <c r="M39" s="50" t="s">
        <v>274</v>
      </c>
      <c r="N39" s="2">
        <f>828+60000</f>
        <v>60828</v>
      </c>
      <c r="Q39" s="50" t="s">
        <v>275</v>
      </c>
      <c r="R39" s="60">
        <v>45000</v>
      </c>
      <c r="U39" s="50" t="s">
        <v>276</v>
      </c>
      <c r="V39" s="2">
        <f>30000+600</f>
        <v>30600</v>
      </c>
      <c r="Y39" s="106" t="s">
        <v>276</v>
      </c>
      <c r="Z39" s="45">
        <v>30000</v>
      </c>
      <c r="AA39" s="43"/>
      <c r="AC39" s="107" t="s">
        <v>44</v>
      </c>
      <c r="AD39" s="28">
        <v>37800</v>
      </c>
      <c r="AE39" s="28"/>
      <c r="AG39" s="11"/>
      <c r="AH39" s="12" t="s">
        <v>44</v>
      </c>
      <c r="AI39" s="13">
        <v>37500</v>
      </c>
    </row>
    <row r="40" spans="2:35" x14ac:dyDescent="0.2">
      <c r="C40" t="s">
        <v>16</v>
      </c>
      <c r="R40" s="2"/>
      <c r="V40" s="2"/>
      <c r="Y40" s="43"/>
      <c r="Z40" s="45"/>
      <c r="AA40" s="43"/>
      <c r="AC40" s="28"/>
      <c r="AD40" s="28"/>
      <c r="AE40" s="28"/>
      <c r="AG40" s="11"/>
      <c r="AH40" s="12"/>
      <c r="AI40" s="22">
        <v>189119.86</v>
      </c>
    </row>
    <row r="41" spans="2:35" x14ac:dyDescent="0.2">
      <c r="C41" s="50" t="s">
        <v>209</v>
      </c>
      <c r="F41" s="70">
        <f>+'Share account 5-4-17'!K111</f>
        <v>-55227.78</v>
      </c>
      <c r="J41" s="70">
        <f>-'Share value 5-4-16'!I75</f>
        <v>-78925.62999999999</v>
      </c>
      <c r="N41" s="70">
        <f>-'Receipts &amp; Payments 2015'!F45-'Receipts &amp; Payments 2015'!I105</f>
        <v>-188428.67</v>
      </c>
      <c r="R41" s="2"/>
      <c r="V41" s="2"/>
      <c r="Y41" s="43"/>
      <c r="Z41" s="45">
        <v>-20000</v>
      </c>
      <c r="AA41" s="43"/>
      <c r="AC41" s="28"/>
      <c r="AD41" s="28">
        <v>190000</v>
      </c>
      <c r="AE41" s="28"/>
      <c r="AG41" s="11"/>
      <c r="AH41" s="12"/>
      <c r="AI41" s="22"/>
    </row>
    <row r="42" spans="2:35" x14ac:dyDescent="0.2">
      <c r="C42" s="50" t="s">
        <v>210</v>
      </c>
      <c r="F42" s="70">
        <f>+'Share account 5-4-17'!K122</f>
        <v>52083.740000000005</v>
      </c>
      <c r="G42" s="78"/>
      <c r="J42" s="70">
        <f>-'Share value 5-4-16'!H75</f>
        <v>68959.240000000005</v>
      </c>
      <c r="K42" s="78"/>
      <c r="N42" s="70">
        <f>+'Receipts &amp; Payments 2015'!E46-'Receipts &amp; Payments 2015'!J105</f>
        <v>135383.22</v>
      </c>
      <c r="O42" s="78"/>
      <c r="R42" s="2"/>
      <c r="S42" s="78"/>
      <c r="V42" s="2"/>
      <c r="Y42" s="43"/>
      <c r="Z42" s="45"/>
      <c r="AA42" s="43"/>
      <c r="AC42" s="28"/>
      <c r="AD42" s="28"/>
      <c r="AE42" s="28"/>
      <c r="AG42" s="11"/>
      <c r="AH42" s="12"/>
      <c r="AI42" s="22"/>
    </row>
    <row r="43" spans="2:35" ht="13.5" thickBot="1" x14ac:dyDescent="0.25">
      <c r="F43" s="5">
        <f>SUM(F39:F42)</f>
        <v>21655.960000000006</v>
      </c>
      <c r="G43" s="77"/>
      <c r="J43" s="5">
        <f>SUM(J39:J42)</f>
        <v>20213.610000000015</v>
      </c>
      <c r="K43" s="77"/>
      <c r="N43" s="5">
        <f>SUM(N39:N42)</f>
        <v>7782.5499999999884</v>
      </c>
      <c r="O43" s="77"/>
      <c r="R43" s="5">
        <f>SUM(R39:R41)</f>
        <v>45000</v>
      </c>
      <c r="S43" s="77"/>
      <c r="V43" s="5">
        <f>SUM(V39:V41)</f>
        <v>30600</v>
      </c>
      <c r="Y43" s="43"/>
      <c r="Z43" s="46">
        <f>SUM(Z39:Z41)</f>
        <v>10000</v>
      </c>
      <c r="AA43" s="43"/>
      <c r="AC43" s="28"/>
      <c r="AD43" s="29">
        <v>227800</v>
      </c>
      <c r="AE43" s="28"/>
      <c r="AG43" s="11"/>
      <c r="AH43" s="12"/>
      <c r="AI43" s="23">
        <f>SUM(AI39:AI40)</f>
        <v>226619.86</v>
      </c>
    </row>
    <row r="44" spans="2:35" ht="13.5" thickTop="1" x14ac:dyDescent="0.2">
      <c r="R44" s="2"/>
      <c r="V44" s="2"/>
      <c r="Y44" s="43"/>
      <c r="Z44" s="47"/>
      <c r="AA44" s="43"/>
      <c r="AC44" s="28"/>
      <c r="AD44" s="28"/>
      <c r="AE44" s="28"/>
      <c r="AG44" s="11"/>
      <c r="AH44" s="12"/>
      <c r="AI44" s="27"/>
    </row>
    <row r="45" spans="2:35" x14ac:dyDescent="0.2">
      <c r="B45" s="1" t="s">
        <v>57</v>
      </c>
      <c r="R45" s="2"/>
      <c r="S45" s="8"/>
      <c r="V45" s="2"/>
      <c r="Y45" s="43"/>
      <c r="Z45" s="47"/>
      <c r="AA45" s="43"/>
      <c r="AC45" s="28"/>
      <c r="AD45" s="28"/>
      <c r="AE45" s="28"/>
      <c r="AG45" s="11"/>
      <c r="AH45" s="12"/>
      <c r="AI45" s="27"/>
    </row>
    <row r="46" spans="2:35" x14ac:dyDescent="0.2">
      <c r="R46" s="2"/>
      <c r="V46" s="2"/>
      <c r="Y46" s="43"/>
      <c r="Z46" s="47"/>
      <c r="AA46" s="43"/>
      <c r="AC46" s="28"/>
      <c r="AD46" s="28"/>
      <c r="AE46" s="28"/>
      <c r="AG46" s="11"/>
      <c r="AH46" s="12"/>
      <c r="AI46" s="27"/>
    </row>
    <row r="47" spans="2:35" x14ac:dyDescent="0.2">
      <c r="B47" s="1" t="s">
        <v>17</v>
      </c>
      <c r="R47" s="2"/>
      <c r="V47" s="2"/>
      <c r="Y47" s="43"/>
      <c r="Z47" s="45"/>
      <c r="AA47" s="43"/>
      <c r="AC47" s="28"/>
      <c r="AD47" s="28"/>
      <c r="AE47" s="28"/>
      <c r="AG47" s="11"/>
      <c r="AH47" s="11"/>
      <c r="AI47" s="22"/>
    </row>
    <row r="48" spans="2:35" x14ac:dyDescent="0.2">
      <c r="B48" s="1"/>
      <c r="C48" t="s">
        <v>18</v>
      </c>
      <c r="E48" s="50" t="s">
        <v>367</v>
      </c>
      <c r="F48" s="2">
        <f>+J48+F39</f>
        <v>297536</v>
      </c>
      <c r="I48" s="50" t="s">
        <v>282</v>
      </c>
      <c r="J48" s="2">
        <f>+N48+J39</f>
        <v>272736</v>
      </c>
      <c r="M48" s="50" t="s">
        <v>58</v>
      </c>
      <c r="N48" s="2">
        <f>180900+N39+828</f>
        <v>242556</v>
      </c>
      <c r="Q48" s="50" t="s">
        <v>53</v>
      </c>
      <c r="R48" s="36">
        <f>+R39+V48</f>
        <v>180900</v>
      </c>
      <c r="S48" s="39">
        <f>+R48/R52</f>
        <v>0.45758674266232213</v>
      </c>
      <c r="T48" s="39"/>
      <c r="U48" s="6" t="s">
        <v>50</v>
      </c>
      <c r="V48" s="36">
        <f>+V39+Z48</f>
        <v>135900</v>
      </c>
      <c r="W48" s="39">
        <f>+V48/V52</f>
        <v>0.4064335287384393</v>
      </c>
      <c r="Y48" s="43" t="s">
        <v>43</v>
      </c>
      <c r="Z48" s="45">
        <f>+Z39+AD48</f>
        <v>105300</v>
      </c>
      <c r="AA48" s="43"/>
      <c r="AC48" s="28" t="s">
        <v>45</v>
      </c>
      <c r="AD48" s="28">
        <v>75300</v>
      </c>
      <c r="AE48" s="28"/>
      <c r="AG48" s="11"/>
      <c r="AH48" s="11" t="s">
        <v>44</v>
      </c>
      <c r="AI48" s="22">
        <v>37500</v>
      </c>
    </row>
    <row r="49" spans="2:35" x14ac:dyDescent="0.2">
      <c r="B49" s="1"/>
      <c r="C49" t="s">
        <v>19</v>
      </c>
      <c r="F49" s="2">
        <v>5207.3100000000004</v>
      </c>
      <c r="J49" s="2">
        <v>3948.01</v>
      </c>
      <c r="N49" s="2">
        <v>7029.57</v>
      </c>
      <c r="R49" s="2">
        <v>7330.3</v>
      </c>
      <c r="S49" s="39">
        <f>+R49/R52</f>
        <v>1.8542001656924378E-2</v>
      </c>
      <c r="T49" s="39"/>
      <c r="V49" s="2">
        <v>1296.8499999999999</v>
      </c>
      <c r="W49" s="39">
        <f>+V49/V52</f>
        <v>3.8784644719973872E-3</v>
      </c>
      <c r="Y49" s="43"/>
      <c r="Z49" s="45">
        <v>23077.74</v>
      </c>
      <c r="AA49" s="43"/>
      <c r="AC49" s="28"/>
      <c r="AD49" s="28">
        <v>11259.36</v>
      </c>
      <c r="AE49" s="28"/>
      <c r="AG49" s="11"/>
      <c r="AH49" s="11"/>
      <c r="AI49" s="22">
        <v>189119.86</v>
      </c>
    </row>
    <row r="50" spans="2:35" x14ac:dyDescent="0.2">
      <c r="B50" s="1"/>
      <c r="C50" t="s">
        <v>36</v>
      </c>
      <c r="F50" s="2">
        <v>1040.6500000000001</v>
      </c>
      <c r="J50" s="2">
        <v>348.35</v>
      </c>
      <c r="N50" s="2">
        <f>+'Receipts &amp; Payments 2015'!F107</f>
        <v>6164.37</v>
      </c>
      <c r="R50" s="2">
        <v>664.17</v>
      </c>
      <c r="S50" s="39">
        <f>+R50/R52</f>
        <v>1.6800187223550828E-3</v>
      </c>
      <c r="T50" s="39"/>
      <c r="V50" s="2">
        <v>1018.18</v>
      </c>
      <c r="W50" s="39">
        <f>+V50/V52</f>
        <v>3.0450514370191618E-3</v>
      </c>
      <c r="Y50" s="43"/>
      <c r="Z50" s="45">
        <f>11520.16+5900.23</f>
        <v>17420.39</v>
      </c>
      <c r="AA50" s="43"/>
      <c r="AC50" s="28"/>
      <c r="AD50" s="28">
        <v>4782.84</v>
      </c>
      <c r="AE50" s="28"/>
      <c r="AG50" s="11"/>
      <c r="AH50" s="11"/>
      <c r="AI50" s="22"/>
    </row>
    <row r="51" spans="2:35" x14ac:dyDescent="0.2">
      <c r="B51" s="1"/>
      <c r="C51" t="s">
        <v>37</v>
      </c>
      <c r="F51" s="2">
        <v>126360.69</v>
      </c>
      <c r="J51" s="2">
        <f>+'Share value 5-4-16'!H16</f>
        <v>129364.21556249999</v>
      </c>
      <c r="N51" s="2">
        <f>+'Receipts &amp; Payments 2015'!F108</f>
        <v>155629.09</v>
      </c>
      <c r="R51" s="51">
        <v>206440.41</v>
      </c>
      <c r="S51" s="39">
        <f>+R51/R52</f>
        <v>0.52219123695839842</v>
      </c>
      <c r="T51" s="39"/>
      <c r="V51" s="2">
        <v>196156.99</v>
      </c>
      <c r="W51" s="39">
        <f>+V51/V52</f>
        <v>0.58664295535254407</v>
      </c>
      <c r="Y51" s="43"/>
      <c r="Z51" s="45">
        <v>152034.15</v>
      </c>
      <c r="AA51" s="43"/>
      <c r="AC51" s="28"/>
      <c r="AD51" s="28">
        <v>187229.13</v>
      </c>
      <c r="AE51" s="28"/>
      <c r="AG51" s="11"/>
      <c r="AH51" s="11"/>
      <c r="AI51" s="22"/>
    </row>
    <row r="52" spans="2:35" ht="13.5" thickBot="1" x14ac:dyDescent="0.25">
      <c r="B52" s="1"/>
      <c r="F52" s="5">
        <f>SUM(F48:F51)</f>
        <v>430144.65</v>
      </c>
      <c r="J52" s="5">
        <f>SUM(J48:J51)</f>
        <v>406396.57556249999</v>
      </c>
      <c r="N52" s="5">
        <f>SUM(N48:N51)</f>
        <v>411379.03</v>
      </c>
      <c r="R52" s="5">
        <f>SUM(R48:R51)</f>
        <v>395334.88</v>
      </c>
      <c r="V52" s="5">
        <f>SUM(V48:V51)</f>
        <v>334372.02</v>
      </c>
      <c r="Y52" s="43"/>
      <c r="Z52" s="46">
        <f>SUM(Z48:Z51)</f>
        <v>297832.28000000003</v>
      </c>
      <c r="AA52" s="43"/>
      <c r="AC52" s="28"/>
      <c r="AD52" s="29">
        <v>278571.33</v>
      </c>
      <c r="AE52" s="28"/>
      <c r="AG52" s="11"/>
      <c r="AH52" s="11"/>
      <c r="AI52" s="23">
        <f>SUM(AI48:AI51)</f>
        <v>226619.86</v>
      </c>
    </row>
    <row r="53" spans="2:35" ht="13.5" thickTop="1" x14ac:dyDescent="0.2">
      <c r="B53" s="1" t="s">
        <v>20</v>
      </c>
      <c r="F53" s="2"/>
      <c r="J53" s="2"/>
      <c r="N53" s="2"/>
      <c r="R53" s="2"/>
      <c r="V53" s="2"/>
      <c r="Y53" s="43"/>
      <c r="Z53" s="45"/>
      <c r="AA53" s="43"/>
      <c r="AC53" s="28"/>
      <c r="AD53" s="28"/>
      <c r="AE53" s="28"/>
      <c r="AG53" s="11"/>
      <c r="AH53" s="11"/>
      <c r="AI53" s="22"/>
    </row>
    <row r="54" spans="2:35" ht="13.5" thickBot="1" x14ac:dyDescent="0.25">
      <c r="B54" s="1"/>
      <c r="C54" t="s">
        <v>21</v>
      </c>
      <c r="F54" s="2">
        <v>0</v>
      </c>
      <c r="J54" s="2">
        <v>0</v>
      </c>
      <c r="N54" s="2">
        <f>+N16+N17</f>
        <v>1950</v>
      </c>
      <c r="R54" s="2">
        <f>+R16+R17</f>
        <v>1527.5</v>
      </c>
      <c r="V54" s="2"/>
      <c r="Y54" s="43"/>
      <c r="Z54" s="45">
        <f>+Z16+Z17</f>
        <v>5238.75</v>
      </c>
      <c r="AA54" s="43"/>
      <c r="AC54" s="28"/>
      <c r="AD54" s="28">
        <v>0</v>
      </c>
      <c r="AE54" s="28"/>
      <c r="AG54" s="11"/>
      <c r="AH54" s="11"/>
      <c r="AI54" s="23">
        <v>7284.25</v>
      </c>
    </row>
    <row r="55" spans="2:35" ht="13.5" thickTop="1" x14ac:dyDescent="0.2">
      <c r="B55" s="1" t="s">
        <v>22</v>
      </c>
      <c r="F55" s="2"/>
      <c r="G55" s="32" t="s">
        <v>104</v>
      </c>
      <c r="J55" s="2"/>
      <c r="K55" s="32" t="s">
        <v>104</v>
      </c>
      <c r="N55" s="2"/>
      <c r="O55" s="32" t="s">
        <v>104</v>
      </c>
      <c r="R55" s="2"/>
      <c r="S55" s="32" t="s">
        <v>104</v>
      </c>
      <c r="V55" s="2"/>
      <c r="Y55" s="43"/>
      <c r="Z55" s="45"/>
      <c r="AA55" s="43"/>
      <c r="AC55" s="28"/>
      <c r="AD55" s="28"/>
      <c r="AE55" s="28"/>
      <c r="AG55" s="11"/>
      <c r="AH55" s="11"/>
      <c r="AI55" s="22"/>
    </row>
    <row r="56" spans="2:35" ht="13.5" thickBot="1" x14ac:dyDescent="0.25">
      <c r="B56" s="1"/>
      <c r="C56" t="s">
        <v>23</v>
      </c>
      <c r="F56" s="5">
        <v>1000</v>
      </c>
      <c r="G56" s="77">
        <f>+F56+F49+F50</f>
        <v>7247.9600000000009</v>
      </c>
      <c r="J56" s="5">
        <v>1000</v>
      </c>
      <c r="K56" s="77">
        <f>+J56+J49+J50</f>
        <v>5296.3600000000006</v>
      </c>
      <c r="N56" s="5">
        <v>1000</v>
      </c>
      <c r="O56" s="77">
        <f>+N56+N49+N50</f>
        <v>14193.939999999999</v>
      </c>
      <c r="R56" s="5">
        <v>1000</v>
      </c>
      <c r="S56" s="77">
        <f>+R56+R49+R50</f>
        <v>8994.4699999999993</v>
      </c>
      <c r="V56" s="5">
        <v>1000</v>
      </c>
      <c r="Y56" s="43"/>
      <c r="Z56" s="46">
        <f>+AI56</f>
        <v>1000</v>
      </c>
      <c r="AA56" s="43"/>
      <c r="AC56" s="28"/>
      <c r="AD56" s="28">
        <v>1000</v>
      </c>
      <c r="AE56" s="28"/>
      <c r="AG56" s="11"/>
      <c r="AH56" s="11"/>
      <c r="AI56" s="23">
        <v>1000</v>
      </c>
    </row>
    <row r="57" spans="2:35" ht="13.5" thickTop="1" x14ac:dyDescent="0.2">
      <c r="B57" s="1" t="s">
        <v>24</v>
      </c>
      <c r="F57" s="2"/>
      <c r="J57" s="2"/>
      <c r="N57" s="2"/>
      <c r="R57" s="2"/>
      <c r="V57" s="2"/>
      <c r="Y57" s="43"/>
      <c r="Z57" s="45"/>
      <c r="AA57" s="43"/>
      <c r="AC57" s="28"/>
      <c r="AD57" s="28"/>
      <c r="AE57" s="28"/>
      <c r="AG57" s="11"/>
      <c r="AH57" s="11"/>
      <c r="AI57" s="22"/>
    </row>
    <row r="58" spans="2:35" x14ac:dyDescent="0.2">
      <c r="B58" s="1"/>
      <c r="C58" t="s">
        <v>25</v>
      </c>
      <c r="F58" s="2">
        <v>0</v>
      </c>
      <c r="J58" s="2">
        <v>0</v>
      </c>
      <c r="N58" s="2"/>
      <c r="R58" s="2"/>
      <c r="V58" s="2"/>
      <c r="Y58" s="43"/>
      <c r="Z58" s="45">
        <v>0</v>
      </c>
      <c r="AA58" s="43"/>
      <c r="AC58" s="28"/>
      <c r="AD58" s="28">
        <v>0</v>
      </c>
      <c r="AE58" s="28"/>
      <c r="AG58" s="11"/>
      <c r="AH58" s="11">
        <v>-279.06</v>
      </c>
      <c r="AI58" s="22"/>
    </row>
    <row r="59" spans="2:35" ht="13.5" thickBot="1" x14ac:dyDescent="0.25">
      <c r="B59" s="1"/>
      <c r="C59" t="s">
        <v>26</v>
      </c>
      <c r="F59" s="2">
        <v>-10000</v>
      </c>
      <c r="J59" s="2">
        <v>-5000</v>
      </c>
      <c r="N59" s="2"/>
      <c r="R59" s="2"/>
      <c r="V59" s="2"/>
      <c r="Y59" s="43"/>
      <c r="Z59" s="45">
        <v>0</v>
      </c>
      <c r="AA59" s="43"/>
      <c r="AC59" s="28"/>
      <c r="AD59" s="28">
        <v>0</v>
      </c>
      <c r="AE59" s="28"/>
      <c r="AG59" s="11"/>
      <c r="AH59" s="11">
        <v>-3000</v>
      </c>
      <c r="AI59" s="23">
        <f>+AH58+AH59</f>
        <v>-3279.06</v>
      </c>
    </row>
    <row r="60" spans="2:35" ht="13.5" thickTop="1" x14ac:dyDescent="0.2">
      <c r="B60" s="1"/>
      <c r="C60" s="50" t="s">
        <v>102</v>
      </c>
      <c r="F60" s="2">
        <f>-9450-29</f>
        <v>-9479</v>
      </c>
      <c r="J60" s="2">
        <v>-180</v>
      </c>
      <c r="N60" s="2">
        <v>-7200</v>
      </c>
      <c r="R60" s="2"/>
      <c r="V60" s="2"/>
      <c r="Y60" s="43"/>
      <c r="Z60" s="45"/>
      <c r="AA60" s="43"/>
      <c r="AC60" s="28"/>
      <c r="AD60" s="28"/>
      <c r="AE60" s="28"/>
      <c r="AG60" s="11"/>
      <c r="AH60" s="11"/>
      <c r="AI60" s="22"/>
    </row>
    <row r="61" spans="2:35" x14ac:dyDescent="0.2">
      <c r="B61" s="1"/>
      <c r="F61" s="2"/>
      <c r="J61" s="2"/>
      <c r="N61" s="2"/>
      <c r="R61" s="2"/>
      <c r="V61" s="2"/>
      <c r="Y61" s="43"/>
      <c r="Z61" s="45"/>
      <c r="AA61" s="43"/>
      <c r="AC61" s="28"/>
      <c r="AD61" s="28"/>
      <c r="AE61" s="28"/>
      <c r="AG61" s="11"/>
      <c r="AH61" s="11"/>
      <c r="AI61" s="22"/>
    </row>
    <row r="62" spans="2:35" ht="13.5" thickBot="1" x14ac:dyDescent="0.25">
      <c r="B62" s="1" t="s">
        <v>27</v>
      </c>
      <c r="F62" s="5">
        <f>+F52+F56+F54+F59+F58+F60</f>
        <v>411665.65</v>
      </c>
      <c r="J62" s="5">
        <f>+J52+J56+J54+J59+J58+J60</f>
        <v>402216.57556249999</v>
      </c>
      <c r="N62" s="5">
        <f>+N52+N56+N54+N59+N58+N60</f>
        <v>407129.03</v>
      </c>
      <c r="R62" s="61">
        <f>+R52+R56+R54+R59+R58</f>
        <v>397862.38</v>
      </c>
      <c r="V62" s="5">
        <f>+V52+V56+V54+V59+V58</f>
        <v>335372.02</v>
      </c>
      <c r="Y62" s="43"/>
      <c r="Z62" s="46">
        <f>+Z52+Z56+Z54+Z59</f>
        <v>304071.03000000003</v>
      </c>
      <c r="AA62" s="43"/>
      <c r="AC62" s="28"/>
      <c r="AD62" s="53">
        <f>+AD52+AD56+AD54+AD59</f>
        <v>279571.33</v>
      </c>
      <c r="AE62" s="28"/>
      <c r="AG62" s="11"/>
      <c r="AH62" s="11"/>
      <c r="AI62" s="23">
        <f>+AI52+AI54+AI56+AI59</f>
        <v>231625.05</v>
      </c>
    </row>
    <row r="63" spans="2:35" ht="13.5" thickTop="1" x14ac:dyDescent="0.2">
      <c r="E63" s="8"/>
      <c r="Y63" s="43"/>
      <c r="Z63" s="43"/>
      <c r="AA63" s="43"/>
      <c r="AC63" s="28"/>
      <c r="AD63" s="28"/>
      <c r="AE63" s="28"/>
      <c r="AG63" s="11"/>
      <c r="AH63" s="11"/>
      <c r="AI63" s="22"/>
    </row>
    <row r="64" spans="2:35" x14ac:dyDescent="0.2">
      <c r="F64" s="8"/>
      <c r="G64" s="8"/>
      <c r="J64" s="8"/>
      <c r="K64" s="8"/>
      <c r="Y64" s="43"/>
      <c r="Z64" s="43"/>
      <c r="AA64" s="43"/>
      <c r="AC64" s="28"/>
      <c r="AD64" s="28"/>
      <c r="AE64" s="28"/>
      <c r="AG64" s="11"/>
      <c r="AH64" s="11"/>
      <c r="AI64" s="22"/>
    </row>
    <row r="65" spans="2:35" x14ac:dyDescent="0.2">
      <c r="Y65" s="43"/>
      <c r="Z65" s="43"/>
      <c r="AA65" s="43"/>
      <c r="AC65" s="28"/>
      <c r="AD65" s="28"/>
      <c r="AE65" s="28"/>
      <c r="AG65" s="11"/>
      <c r="AH65" s="12"/>
      <c r="AI65" s="22"/>
    </row>
    <row r="66" spans="2:35" x14ac:dyDescent="0.2">
      <c r="B66" s="1" t="s">
        <v>0</v>
      </c>
      <c r="Y66" s="43"/>
      <c r="Z66" s="43"/>
      <c r="AA66" s="43"/>
      <c r="AC66" s="28"/>
      <c r="AD66" s="28"/>
      <c r="AE66" s="28"/>
      <c r="AG66" s="11"/>
      <c r="AH66" s="12"/>
      <c r="AI66" s="22"/>
    </row>
    <row r="67" spans="2:35" x14ac:dyDescent="0.2">
      <c r="B67" s="1" t="s">
        <v>279</v>
      </c>
      <c r="Y67" s="43"/>
      <c r="Z67" s="43"/>
      <c r="AA67" s="43"/>
      <c r="AC67" s="28"/>
      <c r="AD67" s="28"/>
      <c r="AE67" s="28"/>
      <c r="AG67" s="11"/>
      <c r="AH67" s="12"/>
      <c r="AI67" s="22"/>
    </row>
    <row r="68" spans="2:35" x14ac:dyDescent="0.2">
      <c r="B68" s="1"/>
      <c r="E68" s="7" t="s">
        <v>28</v>
      </c>
      <c r="F68" s="3" t="s">
        <v>29</v>
      </c>
      <c r="G68" s="7" t="s">
        <v>30</v>
      </c>
      <c r="I68" s="7" t="s">
        <v>28</v>
      </c>
      <c r="J68" s="3" t="s">
        <v>29</v>
      </c>
      <c r="K68" s="7" t="s">
        <v>30</v>
      </c>
      <c r="M68" s="7" t="s">
        <v>28</v>
      </c>
      <c r="N68" s="3" t="s">
        <v>29</v>
      </c>
      <c r="O68" s="7" t="s">
        <v>30</v>
      </c>
      <c r="Q68" s="7" t="s">
        <v>28</v>
      </c>
      <c r="R68" s="3" t="s">
        <v>29</v>
      </c>
      <c r="S68" s="7" t="s">
        <v>30</v>
      </c>
      <c r="T68" s="7"/>
      <c r="U68" s="7" t="s">
        <v>28</v>
      </c>
      <c r="V68" s="3" t="s">
        <v>29</v>
      </c>
      <c r="W68" s="7" t="s">
        <v>30</v>
      </c>
      <c r="X68" s="7"/>
      <c r="Y68" s="44" t="s">
        <v>28</v>
      </c>
      <c r="Z68" s="48" t="s">
        <v>29</v>
      </c>
      <c r="AA68" s="44" t="s">
        <v>30</v>
      </c>
      <c r="AB68" s="35"/>
      <c r="AC68" s="30" t="s">
        <v>28</v>
      </c>
      <c r="AD68" s="30" t="s">
        <v>29</v>
      </c>
      <c r="AE68" s="30" t="s">
        <v>30</v>
      </c>
      <c r="AF68" s="32"/>
      <c r="AG68" s="16" t="s">
        <v>28</v>
      </c>
      <c r="AH68" s="16" t="s">
        <v>29</v>
      </c>
      <c r="AI68" s="13" t="s">
        <v>30</v>
      </c>
    </row>
    <row r="69" spans="2:35" x14ac:dyDescent="0.2">
      <c r="B69" s="1"/>
      <c r="E69" s="1"/>
      <c r="F69" s="1"/>
      <c r="G69" s="1"/>
      <c r="I69" s="1"/>
      <c r="J69" s="1"/>
      <c r="K69" s="1"/>
      <c r="M69" s="1"/>
      <c r="N69" s="1"/>
      <c r="O69" s="1"/>
      <c r="Q69" s="1"/>
      <c r="R69" s="1"/>
      <c r="S69" s="1"/>
      <c r="T69" s="1"/>
      <c r="U69" s="1"/>
      <c r="V69" s="1"/>
      <c r="W69" s="1"/>
      <c r="X69" s="1"/>
      <c r="Y69" s="43"/>
      <c r="Z69" s="43"/>
      <c r="AA69" s="43"/>
      <c r="AC69" s="28"/>
      <c r="AD69" s="28"/>
      <c r="AE69" s="28"/>
      <c r="AG69" s="11"/>
      <c r="AH69" s="11"/>
      <c r="AI69" s="22"/>
    </row>
    <row r="70" spans="2:35" x14ac:dyDescent="0.2">
      <c r="B70" s="1" t="s">
        <v>31</v>
      </c>
      <c r="E70" s="4">
        <f>+F10+F13+F16</f>
        <v>8000</v>
      </c>
      <c r="F70" s="4">
        <f>+F11+F14+F17</f>
        <v>8000</v>
      </c>
      <c r="G70" s="4">
        <f>SUM(E70:F70)</f>
        <v>16000</v>
      </c>
      <c r="I70" s="4">
        <f>+J10+J13+J16</f>
        <v>1562.5</v>
      </c>
      <c r="J70" s="4">
        <f>+J11+J14+J17</f>
        <v>7812.5</v>
      </c>
      <c r="K70" s="4">
        <f>SUM(I70:J70)</f>
        <v>9375</v>
      </c>
      <c r="M70" s="4">
        <f>+N10+N13+N16</f>
        <v>1562.5</v>
      </c>
      <c r="N70" s="4">
        <f>+N11+N14+N17</f>
        <v>8187.5</v>
      </c>
      <c r="O70" s="4">
        <f>SUM(M70:N70)</f>
        <v>9750</v>
      </c>
      <c r="Q70" s="4">
        <f>+R10+R13+R16</f>
        <v>150</v>
      </c>
      <c r="R70" s="4">
        <f>+R11+R14+R17</f>
        <v>7487.5</v>
      </c>
      <c r="S70" s="4">
        <f>SUM(Q70:R70)</f>
        <v>7637.5</v>
      </c>
      <c r="T70" s="4"/>
      <c r="U70" s="4">
        <f>+V10+V13+V16</f>
        <v>4375</v>
      </c>
      <c r="V70" s="4">
        <f>+V11+V14+V17</f>
        <v>4375</v>
      </c>
      <c r="W70" s="4">
        <f>SUM(U70:V70)</f>
        <v>8750</v>
      </c>
      <c r="X70" s="4"/>
      <c r="Y70" s="45">
        <f>+Z10+Z13+Z16</f>
        <v>22556.28</v>
      </c>
      <c r="Z70" s="45">
        <f>+Z11+Z14+Z17</f>
        <v>9693.75</v>
      </c>
      <c r="AA70" s="45">
        <f>SUM(Y70:Z70)</f>
        <v>32250.03</v>
      </c>
      <c r="AB70" s="36"/>
      <c r="AC70" s="28">
        <v>41200.04</v>
      </c>
      <c r="AD70" s="28">
        <v>8593.75</v>
      </c>
      <c r="AE70" s="28">
        <v>49793.79</v>
      </c>
      <c r="AG70" s="11">
        <v>201588.39</v>
      </c>
      <c r="AH70" s="11">
        <v>34680.25</v>
      </c>
      <c r="AI70" s="22">
        <v>236268.64</v>
      </c>
    </row>
    <row r="71" spans="2:35" x14ac:dyDescent="0.2">
      <c r="B71" s="1"/>
      <c r="E71" s="4"/>
      <c r="F71" s="4"/>
      <c r="G71" s="4"/>
      <c r="I71" s="4"/>
      <c r="J71" s="4"/>
      <c r="K71" s="4"/>
      <c r="M71" s="4"/>
      <c r="N71" s="4"/>
      <c r="O71" s="4"/>
      <c r="Q71" s="4"/>
      <c r="R71" s="4"/>
      <c r="S71" s="4"/>
      <c r="T71" s="4"/>
      <c r="U71" s="4"/>
      <c r="V71" s="4"/>
      <c r="W71" s="4"/>
      <c r="X71" s="4"/>
      <c r="Y71" s="45"/>
      <c r="Z71" s="45"/>
      <c r="AA71" s="45"/>
      <c r="AB71" s="36"/>
      <c r="AC71" s="28"/>
      <c r="AD71" s="28"/>
      <c r="AE71" s="28"/>
      <c r="AG71" s="11"/>
      <c r="AH71" s="11"/>
      <c r="AI71" s="22"/>
    </row>
    <row r="72" spans="2:35" x14ac:dyDescent="0.2">
      <c r="B72" s="1" t="s">
        <v>32</v>
      </c>
      <c r="E72" s="4">
        <f>+F28*I79</f>
        <v>-138.6143162210854</v>
      </c>
      <c r="F72" s="4">
        <f>+F28*J79</f>
        <v>-44.149017112246881</v>
      </c>
      <c r="G72" s="4">
        <f>SUM(E72:F72)</f>
        <v>-182.7633333333323</v>
      </c>
      <c r="I72" s="4">
        <f>+J28*M79</f>
        <v>-6129.3895325117046</v>
      </c>
      <c r="J72" s="4">
        <f>+J28*N79</f>
        <v>-1767.2804674882964</v>
      </c>
      <c r="K72" s="4">
        <f>SUM(I72:J72)</f>
        <v>-7896.670000000001</v>
      </c>
      <c r="M72" s="4">
        <f>+N28*Q79</f>
        <v>4754.967385041833</v>
      </c>
      <c r="N72" s="4">
        <f>+N28*R79</f>
        <v>1228.7296556481733</v>
      </c>
      <c r="O72" s="4">
        <f>SUM(M72:N72)</f>
        <v>5983.6970406900064</v>
      </c>
      <c r="Q72" s="4">
        <f>+R28*U79</f>
        <v>49630.279988056172</v>
      </c>
      <c r="R72" s="4">
        <f>+R28*V79</f>
        <v>11430.560011943831</v>
      </c>
      <c r="S72" s="4">
        <f>SUM(Q72:R72)</f>
        <v>61060.840000000004</v>
      </c>
      <c r="T72" s="4"/>
      <c r="U72" s="4">
        <f>+V28*Y79</f>
        <v>23741.717159857872</v>
      </c>
      <c r="V72" s="4">
        <f>+V28*Z79</f>
        <v>5052.3828401421288</v>
      </c>
      <c r="W72" s="4">
        <f>SUM(U72:V72)</f>
        <v>28794.1</v>
      </c>
      <c r="X72" s="4"/>
      <c r="Y72" s="45">
        <f>+Z28*AC79</f>
        <v>-1307.42233774854</v>
      </c>
      <c r="Z72" s="45">
        <f>+Z28*AD79</f>
        <v>-243.56766225146001</v>
      </c>
      <c r="AA72" s="45">
        <f>SUM(Y72:Z72)</f>
        <v>-1550.99</v>
      </c>
      <c r="AB72" s="36"/>
      <c r="AC72" s="28">
        <v>3443.1885000000011</v>
      </c>
      <c r="AD72" s="28">
        <v>607.6215000000002</v>
      </c>
      <c r="AE72" s="28">
        <v>4050.81</v>
      </c>
      <c r="AG72" s="11">
        <v>129.59511070576272</v>
      </c>
      <c r="AH72" s="11">
        <v>22.294889294237265</v>
      </c>
      <c r="AI72" s="22">
        <v>151.88999999999999</v>
      </c>
    </row>
    <row r="73" spans="2:35" x14ac:dyDescent="0.2">
      <c r="B73" s="1"/>
      <c r="E73" s="4"/>
      <c r="F73" s="4"/>
      <c r="G73" s="4"/>
      <c r="I73" s="4"/>
      <c r="J73" s="4"/>
      <c r="K73" s="4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5"/>
      <c r="Z73" s="45"/>
      <c r="AA73" s="45"/>
      <c r="AB73" s="36"/>
      <c r="AC73" s="28"/>
      <c r="AD73" s="28"/>
      <c r="AE73" s="28"/>
      <c r="AG73" s="11"/>
      <c r="AH73" s="11"/>
      <c r="AI73" s="22"/>
    </row>
    <row r="74" spans="2:35" x14ac:dyDescent="0.2">
      <c r="B74" s="1"/>
      <c r="E74" s="4"/>
      <c r="F74" s="4"/>
      <c r="G74" s="4"/>
      <c r="I74" s="4"/>
      <c r="J74" s="4"/>
      <c r="K74" s="4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5"/>
      <c r="Z74" s="45"/>
      <c r="AA74" s="45"/>
      <c r="AB74" s="36"/>
      <c r="AC74" s="28"/>
      <c r="AD74" s="28"/>
      <c r="AE74" s="28"/>
      <c r="AG74" s="11"/>
      <c r="AH74" s="11"/>
      <c r="AI74" s="22"/>
    </row>
    <row r="75" spans="2:35" x14ac:dyDescent="0.2">
      <c r="B75" s="1" t="s">
        <v>33</v>
      </c>
      <c r="E75" s="4">
        <f>+F36</f>
        <v>6368.16</v>
      </c>
      <c r="F75" s="4">
        <v>0</v>
      </c>
      <c r="G75" s="4">
        <f>SUM(E75:F75)</f>
        <v>6368.16</v>
      </c>
      <c r="I75" s="4">
        <f>+J36</f>
        <v>6390.7800000000007</v>
      </c>
      <c r="J75" s="4">
        <v>0</v>
      </c>
      <c r="K75" s="4">
        <f>SUM(I75:J75)</f>
        <v>6390.7800000000007</v>
      </c>
      <c r="M75" s="4">
        <f>+N36</f>
        <v>6467.05</v>
      </c>
      <c r="N75" s="4">
        <v>0</v>
      </c>
      <c r="O75" s="4">
        <f>SUM(M75:N75)</f>
        <v>6467.05</v>
      </c>
      <c r="Q75" s="4">
        <f>+R36</f>
        <v>6207.98</v>
      </c>
      <c r="R75" s="4">
        <v>0</v>
      </c>
      <c r="S75" s="4">
        <f>SUM(Q75:R75)</f>
        <v>6207.98</v>
      </c>
      <c r="T75" s="4"/>
      <c r="U75" s="4">
        <f>+V36</f>
        <v>6243.1100000000006</v>
      </c>
      <c r="V75" s="4">
        <v>0</v>
      </c>
      <c r="W75" s="4">
        <f>SUM(U75:V75)</f>
        <v>6243.1100000000006</v>
      </c>
      <c r="X75" s="4"/>
      <c r="Y75" s="45">
        <f>+Z36</f>
        <v>6199.34</v>
      </c>
      <c r="Z75" s="45">
        <v>0</v>
      </c>
      <c r="AA75" s="45">
        <f>SUM(Y75:Z75)</f>
        <v>6199.34</v>
      </c>
      <c r="AB75" s="36"/>
      <c r="AC75" s="28">
        <v>5898.32</v>
      </c>
      <c r="AD75" s="28"/>
      <c r="AE75" s="28">
        <v>5898.32</v>
      </c>
      <c r="AG75" s="11">
        <v>4795.4799999999996</v>
      </c>
      <c r="AH75" s="11">
        <v>0</v>
      </c>
      <c r="AI75" s="22">
        <v>4795.4799999999996</v>
      </c>
    </row>
    <row r="76" spans="2:35" x14ac:dyDescent="0.2">
      <c r="B76" s="1"/>
      <c r="E76" s="4"/>
      <c r="F76" s="4"/>
      <c r="G76" s="4"/>
      <c r="I76" s="4"/>
      <c r="J76" s="4"/>
      <c r="K76" s="4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5"/>
      <c r="Z76" s="45"/>
      <c r="AA76" s="45"/>
      <c r="AB76" s="36"/>
      <c r="AC76" s="28"/>
      <c r="AD76" s="28"/>
      <c r="AE76" s="28"/>
      <c r="AG76" s="11"/>
      <c r="AH76" s="11"/>
      <c r="AI76" s="22"/>
    </row>
    <row r="77" spans="2:35" x14ac:dyDescent="0.2">
      <c r="E77" s="4"/>
      <c r="F77" s="4"/>
      <c r="G77" s="4"/>
      <c r="I77" s="4"/>
      <c r="J77" s="4"/>
      <c r="K77" s="4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5"/>
      <c r="Z77" s="45"/>
      <c r="AA77" s="45"/>
      <c r="AB77" s="36"/>
      <c r="AC77" s="28"/>
      <c r="AD77" s="28"/>
      <c r="AE77" s="28"/>
      <c r="AG77" s="11"/>
      <c r="AH77" s="11"/>
      <c r="AI77" s="22"/>
    </row>
    <row r="78" spans="2:35" ht="13.5" thickBot="1" x14ac:dyDescent="0.25">
      <c r="B78" s="1" t="s">
        <v>278</v>
      </c>
      <c r="E78" s="5">
        <f>+I78+E70+E72-E75</f>
        <v>306548.81195718033</v>
      </c>
      <c r="F78" s="5">
        <f>+J78+F70+F72-F75</f>
        <v>105116.84175017638</v>
      </c>
      <c r="G78" s="5">
        <f>SUM(E78:F78)</f>
        <v>411665.65370735672</v>
      </c>
      <c r="I78" s="5">
        <f>+M78+I70+I72-I75</f>
        <v>305055.58627340139</v>
      </c>
      <c r="J78" s="5">
        <f>+N78+J70+J72-J75</f>
        <v>97160.990767288618</v>
      </c>
      <c r="K78" s="5">
        <f>SUM(I78:J78)</f>
        <v>402216.57704069</v>
      </c>
      <c r="M78" s="5">
        <f>+Q78+M70+M72-M75</f>
        <v>316013.25580591313</v>
      </c>
      <c r="N78" s="5">
        <f>+R78+N70+N72-N75</f>
        <v>91115.771234776912</v>
      </c>
      <c r="O78" s="5">
        <f>SUM(M78:N78)</f>
        <v>407129.02704069007</v>
      </c>
      <c r="Q78" s="5">
        <f>+U78+Q70+Q72-Q75</f>
        <v>316162.8384208713</v>
      </c>
      <c r="R78" s="5">
        <f>+V78+R70+R72-R75</f>
        <v>81699.541579128738</v>
      </c>
      <c r="S78" s="5">
        <f>SUM(Q78:R78)</f>
        <v>397862.38</v>
      </c>
      <c r="T78" s="5"/>
      <c r="U78" s="5">
        <f>+Y78+U70+U72-U75</f>
        <v>272590.53843281511</v>
      </c>
      <c r="V78" s="5">
        <f>+Z78+V70+V72-V75</f>
        <v>62781.481567184906</v>
      </c>
      <c r="W78" s="5">
        <f>SUM(U78:V78)</f>
        <v>335372.02</v>
      </c>
      <c r="X78" s="5"/>
      <c r="Y78" s="46">
        <f>+AC78+Y70+Y72-Y75</f>
        <v>250716.93127295721</v>
      </c>
      <c r="Z78" s="46">
        <f>+AD78+Z70+Z72-Z75</f>
        <v>53354.09872704278</v>
      </c>
      <c r="AA78" s="46">
        <f>SUM(Y78:Z78)</f>
        <v>304071.02999999997</v>
      </c>
      <c r="AB78" s="37"/>
      <c r="AC78" s="29">
        <v>235667.41361070576</v>
      </c>
      <c r="AD78" s="40">
        <v>43903.916389294238</v>
      </c>
      <c r="AE78" s="29">
        <v>279571.33</v>
      </c>
      <c r="AF78" s="41"/>
      <c r="AG78" s="42">
        <v>196922.50511070577</v>
      </c>
      <c r="AH78" s="42">
        <v>34702.544889294237</v>
      </c>
      <c r="AI78" s="23">
        <v>231625.05</v>
      </c>
    </row>
    <row r="79" spans="2:35" ht="13.5" thickTop="1" x14ac:dyDescent="0.2">
      <c r="E79" s="25">
        <f>+E78/G78</f>
        <v>0.74465481683127865</v>
      </c>
      <c r="F79" s="25">
        <f>+F78/G78</f>
        <v>0.25534518316872123</v>
      </c>
      <c r="G79" s="4">
        <f>+G78-K78</f>
        <v>9449.0766666667187</v>
      </c>
      <c r="I79" s="25">
        <f>+I78/K78</f>
        <v>0.75843613537226395</v>
      </c>
      <c r="J79" s="25">
        <f>+J78/K78</f>
        <v>0.24156386462773607</v>
      </c>
      <c r="K79" s="4">
        <f>+K78-O78</f>
        <v>-4912.4500000000698</v>
      </c>
      <c r="M79" s="25">
        <f>+M78/O78</f>
        <v>0.77619927545556588</v>
      </c>
      <c r="N79" s="25">
        <f>+N78/O78</f>
        <v>0.22380072454443403</v>
      </c>
      <c r="O79" s="4">
        <f>+O78-S78</f>
        <v>9266.6470406900626</v>
      </c>
      <c r="Q79" s="25">
        <f>+Q78/S78</f>
        <v>0.79465376550773992</v>
      </c>
      <c r="R79" s="25">
        <f>+R78/S78</f>
        <v>0.20534623449226019</v>
      </c>
      <c r="S79" s="4">
        <f>+S78-W78</f>
        <v>62490.359999999986</v>
      </c>
      <c r="T79" s="4"/>
      <c r="U79" s="25">
        <f>+U78/W78</f>
        <v>0.81280047880206319</v>
      </c>
      <c r="V79" s="25">
        <f>+V78/W78</f>
        <v>0.18719952119793687</v>
      </c>
      <c r="W79" s="4">
        <f>+W78-AA78</f>
        <v>31300.990000000049</v>
      </c>
      <c r="X79" s="4"/>
      <c r="Y79" s="49">
        <f>+Y78/AA78</f>
        <v>0.82453409413240464</v>
      </c>
      <c r="Z79" s="49">
        <f>+Z78/AA78</f>
        <v>0.17546590586759542</v>
      </c>
      <c r="AA79" s="45">
        <f>+AA78-AE78</f>
        <v>24499.699999999953</v>
      </c>
      <c r="AB79" s="36"/>
      <c r="AC79" s="31">
        <f>+AC78/AE78</f>
        <v>0.84295987578807074</v>
      </c>
      <c r="AD79" s="31">
        <f>+AD78/AE78</f>
        <v>0.15704012421192914</v>
      </c>
      <c r="AE79" s="28">
        <v>47946.28</v>
      </c>
      <c r="AG79" s="24">
        <f>+AG78/AI78</f>
        <v>0.85017792812437931</v>
      </c>
      <c r="AH79" s="24">
        <f>+AH78/AI78</f>
        <v>0.14982207187562069</v>
      </c>
      <c r="AI79" s="20"/>
    </row>
    <row r="80" spans="2:35" x14ac:dyDescent="0.2">
      <c r="F80" s="50" t="s">
        <v>103</v>
      </c>
      <c r="G80" s="58">
        <f>+G79/K78</f>
        <v>2.3492509274949173E-2</v>
      </c>
      <c r="J80" s="50" t="s">
        <v>103</v>
      </c>
      <c r="K80" s="58">
        <f>+K79/O78</f>
        <v>-1.2066076535262862E-2</v>
      </c>
      <c r="N80" s="50" t="s">
        <v>103</v>
      </c>
      <c r="O80" s="58">
        <f>+O79/S78</f>
        <v>2.3291086331635735E-2</v>
      </c>
      <c r="R80" s="50" t="s">
        <v>103</v>
      </c>
      <c r="S80" s="58">
        <f>+S79/W78</f>
        <v>0.18633146557664526</v>
      </c>
      <c r="V80" s="50" t="s">
        <v>103</v>
      </c>
      <c r="W80" s="58">
        <f>+W79/AA78</f>
        <v>0.10293973089116727</v>
      </c>
      <c r="Z80" s="50" t="s">
        <v>103</v>
      </c>
      <c r="AA80" s="58">
        <f>+AA79/AE78</f>
        <v>8.7633091705075591E-2</v>
      </c>
      <c r="AC80" s="8"/>
      <c r="AD80" s="50" t="s">
        <v>103</v>
      </c>
      <c r="AE80" s="58">
        <f>+AE79/AI78</f>
        <v>0.20699954517009278</v>
      </c>
    </row>
    <row r="81" spans="2:35" x14ac:dyDescent="0.2">
      <c r="B81" s="1" t="s">
        <v>277</v>
      </c>
      <c r="S81" s="8">
        <f>+R62-S78</f>
        <v>0</v>
      </c>
      <c r="T81" s="8"/>
      <c r="W81" s="8">
        <f>+V62-W78</f>
        <v>0</v>
      </c>
      <c r="AA81" s="38">
        <f>+Z62-AA78</f>
        <v>0</v>
      </c>
      <c r="AB81" s="38"/>
      <c r="AD81" s="8"/>
    </row>
    <row r="82" spans="2:35" x14ac:dyDescent="0.2">
      <c r="B82" t="s">
        <v>59</v>
      </c>
      <c r="G82" s="8">
        <f>+$AI$8</f>
        <v>196482.89</v>
      </c>
      <c r="K82" s="8">
        <f>+$AI$8</f>
        <v>196482.89</v>
      </c>
      <c r="O82" s="8">
        <f>+$AI$8</f>
        <v>196482.89</v>
      </c>
      <c r="S82" s="8">
        <f>+$AI$8</f>
        <v>196482.89</v>
      </c>
      <c r="W82" s="8">
        <f>+$AI$8</f>
        <v>196482.89</v>
      </c>
      <c r="AA82" s="8">
        <f>+$AI$8</f>
        <v>196482.89</v>
      </c>
      <c r="AE82" s="8">
        <f>+$AI$8</f>
        <v>196482.89</v>
      </c>
      <c r="AI82" s="8">
        <f>+$AI$8</f>
        <v>196482.89</v>
      </c>
    </row>
    <row r="83" spans="2:35" x14ac:dyDescent="0.2">
      <c r="B83" t="s">
        <v>60</v>
      </c>
      <c r="G83" s="8">
        <f>+K83+G70</f>
        <v>173342.07</v>
      </c>
      <c r="K83" s="8">
        <f>+O83+K70</f>
        <v>157342.07</v>
      </c>
      <c r="O83" s="8">
        <f>+M70+N70+Q70+R70+U70+V70+Y70+Z70+AC70+AD70+AG70+AH70-O82</f>
        <v>147967.07</v>
      </c>
      <c r="S83" s="8">
        <f>+Q70+R70+U70+V70+Y70+Z70+AC70+AD70+AG70+AH70+AK70+AL70-S82</f>
        <v>138217.07</v>
      </c>
      <c r="W83" s="8">
        <f>+U70+V70+Y70+Z70+AC70+AD70+AG70+AH70+AK70+AL70+AO70+AP70-W82</f>
        <v>130579.57</v>
      </c>
      <c r="AA83" s="8">
        <f>+Y70+Z70+AC70+AD70+AG70+AH70+AK70+AL70+AO70+AP70+AS70+AT70-AA82</f>
        <v>121829.57</v>
      </c>
      <c r="AE83" s="8">
        <f>+AC70+AD70+AG70+AH70+AK70+AL70+AO70+AP70+AS70+AT70+AW70+AX70-AE82</f>
        <v>89579.540000000037</v>
      </c>
      <c r="AI83" s="8">
        <f>+AG70+AH70+AK70+AL70+AO70+AP70+AS70+AT70+AW70+AX70+BA70+BB70-AI82</f>
        <v>39785.75</v>
      </c>
    </row>
    <row r="84" spans="2:35" x14ac:dyDescent="0.2">
      <c r="B84" t="s">
        <v>61</v>
      </c>
      <c r="G84" s="8">
        <f>+K84+G72</f>
        <v>90410.913707356653</v>
      </c>
      <c r="K84" s="8">
        <f>+O84+K72</f>
        <v>90593.677040689989</v>
      </c>
      <c r="O84" s="8">
        <f>+O72+S72+W72+AA72+AE72+AI72</f>
        <v>98490.347040689987</v>
      </c>
      <c r="S84" s="8">
        <f>+S72+W72+AA72+AE72+AI72+AM72</f>
        <v>92506.65</v>
      </c>
      <c r="W84" s="8">
        <f>+W72+AA72+AE72+AI72+AM72+AQ72</f>
        <v>31445.809999999998</v>
      </c>
      <c r="AA84" s="8">
        <f>+AA72+AE72+AI72+AM72+AQ72+AU72</f>
        <v>2651.7099999999996</v>
      </c>
      <c r="AE84" s="8">
        <f>+AE72+AI72+AM72+AQ72+AU72+AY72</f>
        <v>4202.7</v>
      </c>
      <c r="AI84" s="8">
        <f>+AI72+AM72+AQ72+AU72+AY72+BC72</f>
        <v>151.88999999999999</v>
      </c>
    </row>
    <row r="85" spans="2:35" x14ac:dyDescent="0.2">
      <c r="B85" t="s">
        <v>33</v>
      </c>
      <c r="G85" s="8">
        <f>+K85-G75</f>
        <v>-48570.22</v>
      </c>
      <c r="K85" s="8">
        <f>+O85-K75</f>
        <v>-42202.06</v>
      </c>
      <c r="O85" s="8">
        <f>-AI75-AE75-AA75-W75-S75-O75</f>
        <v>-35811.279999999999</v>
      </c>
      <c r="S85" s="8">
        <f>-AM75-AI75-AE75-AA75-W75-S75</f>
        <v>-29344.23</v>
      </c>
      <c r="W85" s="8">
        <f>-AQ75-AM75-AI75-AE75-AA75-W75</f>
        <v>-23136.25</v>
      </c>
      <c r="AA85" s="8">
        <f>-AU75-AQ75-AM75-AI75-AE75-AA75</f>
        <v>-16893.14</v>
      </c>
      <c r="AE85" s="8">
        <f>-AY75-AU75-AQ75-AM75-AI75-AE75</f>
        <v>-10693.8</v>
      </c>
      <c r="AI85" s="8">
        <f>-BC75-AY75-AU75-AQ75-AM75-AI75</f>
        <v>-4795.4799999999996</v>
      </c>
    </row>
    <row r="86" spans="2:35" ht="13.5" thickBot="1" x14ac:dyDescent="0.25">
      <c r="G86" s="55">
        <f>SUM(G82:G85)</f>
        <v>411665.65370735666</v>
      </c>
      <c r="K86" s="55">
        <f>SUM(K82:K85)</f>
        <v>402216.57704069</v>
      </c>
      <c r="O86" s="55">
        <f>SUM(O82:O85)</f>
        <v>407129.02704068995</v>
      </c>
      <c r="S86" s="55">
        <f>SUM(S82:S85)</f>
        <v>397862.38</v>
      </c>
      <c r="W86" s="55">
        <f>SUM(W82:W85)</f>
        <v>335372.02</v>
      </c>
      <c r="AA86" s="55">
        <f>SUM(AA82:AA85)</f>
        <v>304071.03000000003</v>
      </c>
      <c r="AE86" s="55">
        <f>SUM(AE82:AE85)</f>
        <v>279571.33000000007</v>
      </c>
      <c r="AI86" s="55">
        <f>SUM(AI82:AI85)</f>
        <v>231625.05000000002</v>
      </c>
    </row>
    <row r="87" spans="2:35" ht="13.5" thickTop="1" x14ac:dyDescent="0.2"/>
    <row r="89" spans="2:35" x14ac:dyDescent="0.2">
      <c r="B89" t="s">
        <v>362</v>
      </c>
      <c r="G89" s="8">
        <f>+F19</f>
        <v>16000</v>
      </c>
      <c r="K89" s="8">
        <f>+J19</f>
        <v>9375</v>
      </c>
    </row>
    <row r="90" spans="2:35" x14ac:dyDescent="0.2">
      <c r="B90" t="s">
        <v>363</v>
      </c>
      <c r="G90" s="8">
        <f>-F36</f>
        <v>-6368.16</v>
      </c>
      <c r="K90" s="8">
        <f>-J36</f>
        <v>-6390.7800000000007</v>
      </c>
    </row>
    <row r="91" spans="2:35" x14ac:dyDescent="0.2">
      <c r="B91" t="s">
        <v>364</v>
      </c>
      <c r="G91" s="8">
        <f>+G89+G90</f>
        <v>9631.84</v>
      </c>
      <c r="K91" s="8">
        <f>+K89+K90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G34" sqref="G34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365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73" t="s">
        <v>360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131</v>
      </c>
      <c r="O7" s="60">
        <f>+L19-F19</f>
        <v>0</v>
      </c>
      <c r="P7" s="60"/>
      <c r="Q7" s="60">
        <f>+F19</f>
        <v>0</v>
      </c>
      <c r="R7" s="60">
        <f>SUM(O7:Q7)</f>
        <v>0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-5177.4800000000005</v>
      </c>
      <c r="P9" s="60"/>
      <c r="Q9" s="60">
        <f>-P9</f>
        <v>0</v>
      </c>
      <c r="R9" s="60">
        <f>SUM(O9:Q9)</f>
        <v>-5177.4800000000005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133</v>
      </c>
      <c r="O10" s="60">
        <f>SUM(O6:O9)</f>
        <v>-1090.0100000000002</v>
      </c>
      <c r="P10" s="60"/>
      <c r="Q10" s="60">
        <f>SUM(Q6:Q9)</f>
        <v>3942.0999999999995</v>
      </c>
      <c r="R10" s="60">
        <f>SUM(R6:R9)</f>
        <v>2852.0899999999992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139</v>
      </c>
      <c r="O13" s="60">
        <f>+O11-O10</f>
        <v>2090.0100000000002</v>
      </c>
      <c r="P13" s="63"/>
      <c r="Q13" s="63">
        <f>+Q11-Q10</f>
        <v>5.910000000000764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121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1">
        <f t="shared" si="0"/>
        <v>0</v>
      </c>
      <c r="I19" s="61"/>
      <c r="J19" s="61"/>
      <c r="K19" s="61"/>
      <c r="L19" s="61">
        <f>SUM(C19:K19)</f>
        <v>0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122</v>
      </c>
      <c r="D21" s="60" t="s">
        <v>14</v>
      </c>
      <c r="E21" s="60" t="s">
        <v>123</v>
      </c>
      <c r="F21" s="60" t="s">
        <v>124</v>
      </c>
      <c r="G21" s="73" t="s">
        <v>361</v>
      </c>
      <c r="H21" s="73" t="s">
        <v>13</v>
      </c>
      <c r="I21" s="73" t="s">
        <v>208</v>
      </c>
      <c r="J21" s="60" t="s">
        <v>291</v>
      </c>
      <c r="K21" s="60"/>
      <c r="L21" s="60"/>
    </row>
    <row r="22" spans="1:13" x14ac:dyDescent="0.2">
      <c r="A22" s="63"/>
      <c r="B22" s="63" t="s">
        <v>110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112</v>
      </c>
      <c r="C24" s="60"/>
      <c r="D24" s="60">
        <v>8.93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114</v>
      </c>
      <c r="C26" s="60">
        <v>800</v>
      </c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115</v>
      </c>
      <c r="C27" s="60"/>
      <c r="D27" s="60">
        <v>9.5299999999999994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118</v>
      </c>
      <c r="C30" s="60"/>
      <c r="D30" s="60">
        <v>8.93</v>
      </c>
      <c r="E30" s="60">
        <v>285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119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60">
        <v>8.93</v>
      </c>
      <c r="E33" s="60">
        <v>285</v>
      </c>
      <c r="F33" s="60">
        <v>1.1599999999999999</v>
      </c>
      <c r="G33" s="60">
        <v>3200</v>
      </c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800</v>
      </c>
      <c r="D34" s="61">
        <f>SUM(D22:D33)</f>
        <v>36.32</v>
      </c>
      <c r="E34" s="61">
        <f>SUM(E22:E33)</f>
        <v>1140</v>
      </c>
      <c r="F34" s="61">
        <f>SUM(F22:F33)</f>
        <v>1.1599999999999999</v>
      </c>
      <c r="G34" s="61">
        <f>SUM(G22:G33)</f>
        <v>3200</v>
      </c>
      <c r="H34" s="61">
        <f t="shared" ref="H34:I34" si="1">SUM(H22:H33)</f>
        <v>0</v>
      </c>
      <c r="I34" s="61">
        <f t="shared" si="1"/>
        <v>0</v>
      </c>
      <c r="J34" s="61">
        <f>SUM(J22:J33)</f>
        <v>0</v>
      </c>
      <c r="K34" s="61"/>
      <c r="L34" s="61">
        <f>SUM(C34:K34)</f>
        <v>5177.4800000000005</v>
      </c>
    </row>
    <row r="35" spans="1:12" ht="13.5" thickTop="1" x14ac:dyDescent="0.2"/>
    <row r="37" spans="1:12" ht="20.25" x14ac:dyDescent="0.3">
      <c r="A37" s="104" t="s">
        <v>153</v>
      </c>
    </row>
    <row r="39" spans="1:12" x14ac:dyDescent="0.2">
      <c r="B39" s="50" t="s">
        <v>154</v>
      </c>
    </row>
    <row r="40" spans="1:12" x14ac:dyDescent="0.2">
      <c r="G40" s="50" t="s">
        <v>204</v>
      </c>
    </row>
    <row r="41" spans="1:12" x14ac:dyDescent="0.2">
      <c r="B41" s="180" t="s">
        <v>310</v>
      </c>
      <c r="C41" s="180"/>
      <c r="D41" s="180"/>
      <c r="E41" s="180"/>
      <c r="F41" s="68">
        <v>6164.37</v>
      </c>
      <c r="G41" s="50" t="s">
        <v>359</v>
      </c>
      <c r="H41" s="50" t="s">
        <v>150</v>
      </c>
      <c r="I41" s="50" t="s">
        <v>147</v>
      </c>
      <c r="J41" s="50" t="s">
        <v>148</v>
      </c>
      <c r="K41" s="50" t="s">
        <v>206</v>
      </c>
    </row>
    <row r="42" spans="1:12" ht="25.5" x14ac:dyDescent="0.2">
      <c r="B42" s="69">
        <v>41949</v>
      </c>
      <c r="C42" s="69">
        <v>41946</v>
      </c>
      <c r="D42" s="127" t="s">
        <v>155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27" t="s">
        <v>156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27" t="s">
        <v>157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27" t="s">
        <v>158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27" t="s">
        <v>159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27" t="s">
        <v>160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27" t="s">
        <v>161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27" t="s">
        <v>162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27" t="s">
        <v>163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27" t="s">
        <v>164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27" t="s">
        <v>165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27" t="s">
        <v>166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27" t="s">
        <v>167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27" t="s">
        <v>168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27" t="s">
        <v>169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27" t="s">
        <v>170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27" t="s">
        <v>171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27" t="s">
        <v>172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27" t="s">
        <v>173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27" t="s">
        <v>174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27" t="s">
        <v>175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27" t="s">
        <v>176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27" t="s">
        <v>177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27" t="s">
        <v>178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27" t="s">
        <v>179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27" t="s">
        <v>180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27" t="s">
        <v>181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27" t="s">
        <v>182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27" t="s">
        <v>183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27" t="s">
        <v>184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27" t="s">
        <v>185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27" t="s">
        <v>186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27" t="s">
        <v>187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27" t="s">
        <v>188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27" t="s">
        <v>189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27" t="s">
        <v>190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27" t="s">
        <v>191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27" t="s">
        <v>192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27" t="s">
        <v>193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27" t="s">
        <v>194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27" t="s">
        <v>195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27" t="s">
        <v>196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27" t="s">
        <v>197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27" t="s">
        <v>198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27" t="s">
        <v>199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27" t="s">
        <v>200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27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27"/>
      <c r="E89" s="71"/>
      <c r="F89" s="71"/>
      <c r="J89" s="70"/>
    </row>
    <row r="90" spans="2:12" x14ac:dyDescent="0.2">
      <c r="B90" s="180" t="s">
        <v>358</v>
      </c>
      <c r="C90" s="180"/>
      <c r="D90" s="180"/>
      <c r="E90" s="68" t="s">
        <v>202</v>
      </c>
      <c r="F90" s="71">
        <f>+F41+L88</f>
        <v>348.35000000000127</v>
      </c>
      <c r="H90" s="50" t="s">
        <v>211</v>
      </c>
    </row>
    <row r="91" spans="2:12" x14ac:dyDescent="0.2">
      <c r="B91" s="180" t="s">
        <v>207</v>
      </c>
      <c r="C91" s="180"/>
      <c r="D91" s="180"/>
      <c r="E91" s="180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213</v>
      </c>
    </row>
    <row r="97" spans="2:4" x14ac:dyDescent="0.2">
      <c r="B97" t="s">
        <v>283</v>
      </c>
    </row>
    <row r="99" spans="2:4" x14ac:dyDescent="0.2">
      <c r="C99" t="s">
        <v>284</v>
      </c>
      <c r="D99" t="s">
        <v>0</v>
      </c>
    </row>
    <row r="100" spans="2:4" x14ac:dyDescent="0.2">
      <c r="B100" t="s">
        <v>285</v>
      </c>
      <c r="C100">
        <v>-2000</v>
      </c>
      <c r="D100">
        <f>+-C100</f>
        <v>2000</v>
      </c>
    </row>
    <row r="101" spans="2:4" x14ac:dyDescent="0.2">
      <c r="B101" t="s">
        <v>286</v>
      </c>
      <c r="C101">
        <v>29</v>
      </c>
      <c r="D101">
        <f t="shared" ref="D101:D108" si="3">+-C101</f>
        <v>-29</v>
      </c>
    </row>
    <row r="102" spans="2:4" x14ac:dyDescent="0.2">
      <c r="B102" t="s">
        <v>287</v>
      </c>
      <c r="C102">
        <v>-1250</v>
      </c>
      <c r="D102">
        <f t="shared" si="3"/>
        <v>1250</v>
      </c>
    </row>
    <row r="103" spans="2:4" x14ac:dyDescent="0.2">
      <c r="B103" t="s">
        <v>288</v>
      </c>
      <c r="C103">
        <v>-6250</v>
      </c>
      <c r="D103">
        <f t="shared" si="3"/>
        <v>6250</v>
      </c>
    </row>
    <row r="104" spans="2:4" x14ac:dyDescent="0.2">
      <c r="B104" t="s">
        <v>289</v>
      </c>
      <c r="C104">
        <v>7200</v>
      </c>
      <c r="D104">
        <f t="shared" si="3"/>
        <v>-7200</v>
      </c>
    </row>
    <row r="105" spans="2:4" x14ac:dyDescent="0.2">
      <c r="B105" t="s">
        <v>290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281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73" t="s">
        <v>360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131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139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120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121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122</v>
      </c>
      <c r="D21" s="60" t="s">
        <v>14</v>
      </c>
      <c r="E21" s="60" t="s">
        <v>123</v>
      </c>
      <c r="F21" s="60" t="s">
        <v>124</v>
      </c>
      <c r="G21" s="73" t="s">
        <v>361</v>
      </c>
      <c r="H21" s="73" t="s">
        <v>13</v>
      </c>
      <c r="I21" s="73" t="s">
        <v>208</v>
      </c>
      <c r="J21" s="60" t="s">
        <v>291</v>
      </c>
      <c r="K21" s="60"/>
      <c r="L21" s="60"/>
    </row>
    <row r="22" spans="1:13" x14ac:dyDescent="0.2">
      <c r="A22" s="63"/>
      <c r="B22" s="63" t="s">
        <v>110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112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115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118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119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153</v>
      </c>
    </row>
    <row r="39" spans="1:12" x14ac:dyDescent="0.2">
      <c r="B39" s="50" t="s">
        <v>154</v>
      </c>
    </row>
    <row r="40" spans="1:12" x14ac:dyDescent="0.2">
      <c r="G40" s="50" t="s">
        <v>204</v>
      </c>
    </row>
    <row r="41" spans="1:12" ht="12.75" customHeight="1" x14ac:dyDescent="0.2">
      <c r="B41" s="180" t="s">
        <v>310</v>
      </c>
      <c r="C41" s="180"/>
      <c r="D41" s="180"/>
      <c r="E41" s="180"/>
      <c r="F41" s="68">
        <v>6164.37</v>
      </c>
      <c r="G41" s="50" t="s">
        <v>359</v>
      </c>
      <c r="H41" s="50" t="s">
        <v>150</v>
      </c>
      <c r="I41" s="50" t="s">
        <v>147</v>
      </c>
      <c r="J41" s="50" t="s">
        <v>148</v>
      </c>
      <c r="K41" s="50" t="s">
        <v>206</v>
      </c>
    </row>
    <row r="42" spans="1:12" ht="25.5" hidden="1" x14ac:dyDescent="0.2">
      <c r="B42" s="69">
        <v>41949</v>
      </c>
      <c r="C42" s="69">
        <v>41946</v>
      </c>
      <c r="D42" s="112" t="s">
        <v>155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156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157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158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159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160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161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162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163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164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165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166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167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168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169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170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171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172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173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174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175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176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177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178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179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180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181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182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183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184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185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186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187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188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189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190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191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192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193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194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195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196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197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198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199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200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180" t="s">
        <v>358</v>
      </c>
      <c r="C90" s="180"/>
      <c r="D90" s="180"/>
      <c r="E90" s="68" t="s">
        <v>202</v>
      </c>
      <c r="F90" s="71">
        <f>+F41+L88</f>
        <v>348.35000000000127</v>
      </c>
      <c r="H90" s="50" t="s">
        <v>211</v>
      </c>
    </row>
    <row r="91" spans="2:12" ht="12.75" customHeight="1" x14ac:dyDescent="0.2">
      <c r="B91" s="180" t="s">
        <v>207</v>
      </c>
      <c r="C91" s="180"/>
      <c r="D91" s="180"/>
      <c r="E91" s="180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213</v>
      </c>
    </row>
    <row r="97" spans="2:4" x14ac:dyDescent="0.2">
      <c r="B97" t="s">
        <v>283</v>
      </c>
    </row>
    <row r="99" spans="2:4" x14ac:dyDescent="0.2">
      <c r="C99" t="s">
        <v>284</v>
      </c>
      <c r="D99" t="s">
        <v>0</v>
      </c>
    </row>
    <row r="100" spans="2:4" x14ac:dyDescent="0.2">
      <c r="B100" t="s">
        <v>285</v>
      </c>
      <c r="C100">
        <v>-2000</v>
      </c>
      <c r="D100">
        <f>+-C100</f>
        <v>2000</v>
      </c>
    </row>
    <row r="101" spans="2:4" x14ac:dyDescent="0.2">
      <c r="B101" t="s">
        <v>286</v>
      </c>
      <c r="C101">
        <v>29</v>
      </c>
      <c r="D101">
        <f t="shared" ref="D101:D108" si="3">+-C101</f>
        <v>-29</v>
      </c>
    </row>
    <row r="102" spans="2:4" x14ac:dyDescent="0.2">
      <c r="B102" t="s">
        <v>287</v>
      </c>
      <c r="C102">
        <v>-1250</v>
      </c>
      <c r="D102">
        <f t="shared" si="3"/>
        <v>1250</v>
      </c>
    </row>
    <row r="103" spans="2:4" x14ac:dyDescent="0.2">
      <c r="B103" t="s">
        <v>288</v>
      </c>
      <c r="C103">
        <v>-6250</v>
      </c>
      <c r="D103">
        <f t="shared" si="3"/>
        <v>6250</v>
      </c>
    </row>
    <row r="104" spans="2:4" x14ac:dyDescent="0.2">
      <c r="B104" t="s">
        <v>289</v>
      </c>
      <c r="C104">
        <v>7200</v>
      </c>
      <c r="D104">
        <f t="shared" si="3"/>
        <v>-7200</v>
      </c>
    </row>
    <row r="105" spans="2:4" x14ac:dyDescent="0.2">
      <c r="B105" t="s">
        <v>290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128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60" t="s">
        <v>109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131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139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121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122</v>
      </c>
      <c r="D21" s="113" t="s">
        <v>14</v>
      </c>
      <c r="E21" s="60" t="s">
        <v>123</v>
      </c>
      <c r="F21" s="60" t="s">
        <v>124</v>
      </c>
      <c r="G21" s="60" t="s">
        <v>125</v>
      </c>
      <c r="H21" s="73" t="s">
        <v>13</v>
      </c>
      <c r="I21" s="73" t="s">
        <v>208</v>
      </c>
      <c r="J21" s="60"/>
      <c r="K21" s="60"/>
      <c r="L21" s="60"/>
    </row>
    <row r="22" spans="1:12" x14ac:dyDescent="0.2">
      <c r="A22" s="63"/>
      <c r="B22" s="63" t="s">
        <v>110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111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112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113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114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115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116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117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118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119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120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140</v>
      </c>
    </row>
    <row r="38" spans="1:12" x14ac:dyDescent="0.2">
      <c r="G38" s="50" t="s">
        <v>152</v>
      </c>
      <c r="H38" s="50" t="s">
        <v>142</v>
      </c>
      <c r="I38" s="50" t="s">
        <v>143</v>
      </c>
    </row>
    <row r="39" spans="1:12" x14ac:dyDescent="0.2">
      <c r="B39" s="50" t="s">
        <v>141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144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145</v>
      </c>
      <c r="E42" s="2"/>
      <c r="F42" s="2">
        <f>102.16+133.87+127.03+327.84+12.63+486.65</f>
        <v>1190.1799999999998</v>
      </c>
    </row>
    <row r="43" spans="1:12" x14ac:dyDescent="0.2">
      <c r="B43" s="50" t="s">
        <v>146</v>
      </c>
      <c r="E43" s="2">
        <f>266.61+133.87+50000</f>
        <v>50400.480000000003</v>
      </c>
      <c r="F43" s="2"/>
    </row>
    <row r="44" spans="1:12" x14ac:dyDescent="0.2">
      <c r="B44" s="50" t="s">
        <v>150</v>
      </c>
      <c r="E44" s="2">
        <v>14.4</v>
      </c>
      <c r="F44" s="2"/>
    </row>
    <row r="45" spans="1:12" x14ac:dyDescent="0.2">
      <c r="B45" s="50" t="s">
        <v>147</v>
      </c>
      <c r="E45" s="2"/>
      <c r="F45" s="2">
        <v>68559.34</v>
      </c>
    </row>
    <row r="46" spans="1:12" x14ac:dyDescent="0.2">
      <c r="B46" s="50" t="s">
        <v>148</v>
      </c>
      <c r="E46" s="2">
        <f>9999.8+9999.01</f>
        <v>19998.809999999998</v>
      </c>
      <c r="F46" s="2"/>
      <c r="H46" s="8"/>
    </row>
    <row r="47" spans="1:12" x14ac:dyDescent="0.2">
      <c r="B47" s="50" t="s">
        <v>149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151</v>
      </c>
      <c r="E50" s="2"/>
      <c r="F50" s="2">
        <f>+F40+F48-E48</f>
        <v>0</v>
      </c>
    </row>
    <row r="53" spans="1:11" ht="20.25" x14ac:dyDescent="0.3">
      <c r="A53" s="104" t="s">
        <v>153</v>
      </c>
    </row>
    <row r="54" spans="1:11" x14ac:dyDescent="0.2">
      <c r="B54" s="50" t="s">
        <v>109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154</v>
      </c>
    </row>
    <row r="57" spans="1:11" x14ac:dyDescent="0.2">
      <c r="G57" s="50" t="s">
        <v>204</v>
      </c>
    </row>
    <row r="58" spans="1:11" ht="12.75" customHeight="1" x14ac:dyDescent="0.2">
      <c r="B58" s="180" t="s">
        <v>203</v>
      </c>
      <c r="C58" s="180"/>
      <c r="D58" s="180"/>
      <c r="E58" s="180"/>
      <c r="F58" s="68">
        <v>0</v>
      </c>
      <c r="G58" s="50" t="s">
        <v>205</v>
      </c>
      <c r="H58" s="50" t="s">
        <v>150</v>
      </c>
      <c r="I58" s="50" t="s">
        <v>147</v>
      </c>
      <c r="J58" s="50" t="s">
        <v>148</v>
      </c>
      <c r="K58" s="50" t="s">
        <v>206</v>
      </c>
    </row>
    <row r="59" spans="1:11" ht="25.5" hidden="1" x14ac:dyDescent="0.2">
      <c r="B59" s="69">
        <v>41949</v>
      </c>
      <c r="C59" s="69">
        <v>41946</v>
      </c>
      <c r="D59" s="67" t="s">
        <v>155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156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157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158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159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160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161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162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163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164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165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166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167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168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169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170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171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172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173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174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175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176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177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178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179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180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181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182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183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184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185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186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187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188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189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190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191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192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193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194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195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196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197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198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199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200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80" t="s">
        <v>201</v>
      </c>
      <c r="C107" s="180"/>
      <c r="D107" s="180"/>
      <c r="E107" s="68" t="s">
        <v>202</v>
      </c>
      <c r="F107" s="71">
        <v>6164.37</v>
      </c>
      <c r="H107" s="50" t="s">
        <v>211</v>
      </c>
    </row>
    <row r="108" spans="2:12" ht="12.75" customHeight="1" x14ac:dyDescent="0.2">
      <c r="B108" s="180" t="s">
        <v>207</v>
      </c>
      <c r="C108" s="180"/>
      <c r="D108" s="180"/>
      <c r="E108" s="180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213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6" workbookViewId="0">
      <selection activeCell="Q10" sqref="Q10"/>
    </sheetView>
  </sheetViews>
  <sheetFormatPr defaultRowHeight="12.75" x14ac:dyDescent="0.2"/>
  <cols>
    <col min="2" max="2" width="9.140625" style="7"/>
    <col min="3" max="3" width="11.28515625" bestFit="1" customWidth="1"/>
    <col min="4" max="8" width="11.28515625" customWidth="1"/>
    <col min="9" max="16" width="10.28515625" bestFit="1" customWidth="1"/>
    <col min="17" max="17" width="11.28515625" bestFit="1" customWidth="1"/>
    <col min="18" max="18" width="10.28515625" bestFit="1" customWidth="1"/>
    <col min="19" max="19" width="11.28515625" bestFit="1" customWidth="1"/>
    <col min="20" max="20" width="10.28515625" bestFit="1" customWidth="1"/>
  </cols>
  <sheetData>
    <row r="1" spans="1:20" x14ac:dyDescent="0.2">
      <c r="B1" s="7" t="s">
        <v>46</v>
      </c>
      <c r="C1" s="7"/>
      <c r="D1" s="7">
        <v>2017</v>
      </c>
      <c r="E1" s="7">
        <v>2016</v>
      </c>
      <c r="F1" s="7">
        <v>2015</v>
      </c>
      <c r="G1" s="7">
        <v>2014</v>
      </c>
      <c r="H1" s="7">
        <v>2013</v>
      </c>
      <c r="I1" s="7">
        <v>2012</v>
      </c>
      <c r="J1" s="7">
        <v>2011</v>
      </c>
      <c r="K1" s="7">
        <v>2010</v>
      </c>
      <c r="L1" s="7">
        <v>2009</v>
      </c>
      <c r="M1" s="7">
        <v>2008</v>
      </c>
      <c r="N1" s="7">
        <v>2007</v>
      </c>
      <c r="O1" s="7">
        <v>2006</v>
      </c>
      <c r="P1" s="7">
        <v>2005</v>
      </c>
      <c r="Q1" s="7"/>
      <c r="R1" s="7" t="s">
        <v>292</v>
      </c>
      <c r="S1" s="7" t="s">
        <v>295</v>
      </c>
      <c r="T1" s="7" t="s">
        <v>296</v>
      </c>
    </row>
    <row r="2" spans="1:20" x14ac:dyDescent="0.2">
      <c r="A2" t="s">
        <v>47</v>
      </c>
      <c r="B2" s="7" t="s">
        <v>54</v>
      </c>
      <c r="D2">
        <v>8000</v>
      </c>
      <c r="E2" s="2">
        <f>+'Pension Funds'!J10/0.8</f>
        <v>1562.5</v>
      </c>
      <c r="F2" s="2">
        <v>1562.5</v>
      </c>
      <c r="G2" s="2">
        <f>+'Pension Funds'!R10+'Pension Funds'!R16</f>
        <v>150</v>
      </c>
      <c r="H2" s="2">
        <f>+'Pension Funds'!V10+'Pension Funds'!V16</f>
        <v>4375</v>
      </c>
      <c r="I2" s="2">
        <v>16500</v>
      </c>
      <c r="J2" s="2">
        <v>33125</v>
      </c>
      <c r="K2" s="2">
        <v>30819</v>
      </c>
      <c r="L2" s="2">
        <v>37500</v>
      </c>
      <c r="M2" s="2">
        <v>29441</v>
      </c>
      <c r="N2" s="2">
        <v>26102.560000000001</v>
      </c>
      <c r="O2" s="2">
        <v>7351.39</v>
      </c>
      <c r="P2" s="2">
        <v>9482.7999999999993</v>
      </c>
      <c r="Q2" s="2">
        <f>SUM(D2:P2)</f>
        <v>205971.75</v>
      </c>
      <c r="R2" s="4">
        <f>+Q2*0.2</f>
        <v>41194.350000000006</v>
      </c>
      <c r="S2" s="3">
        <f>+Q2-R2</f>
        <v>164777.4</v>
      </c>
      <c r="T2" s="3">
        <f>+Q3</f>
        <v>58841.119999999995</v>
      </c>
    </row>
    <row r="3" spans="1:20" x14ac:dyDescent="0.2">
      <c r="B3" s="7" t="s">
        <v>48</v>
      </c>
      <c r="E3" s="2"/>
      <c r="F3" s="2">
        <v>0</v>
      </c>
      <c r="G3" s="2">
        <v>0</v>
      </c>
      <c r="H3" s="2">
        <v>0</v>
      </c>
      <c r="I3" s="2">
        <v>6056.28</v>
      </c>
      <c r="J3" s="2">
        <v>8075.04</v>
      </c>
      <c r="K3" s="2">
        <v>14131.32</v>
      </c>
      <c r="L3" s="2">
        <v>5226</v>
      </c>
      <c r="M3" s="2">
        <v>9579.9500000000007</v>
      </c>
      <c r="N3" s="2">
        <v>7497.33</v>
      </c>
      <c r="O3" s="2">
        <v>0</v>
      </c>
      <c r="P3" s="2">
        <v>8275.2000000000007</v>
      </c>
      <c r="Q3" s="2">
        <f>SUM(E3:P3)</f>
        <v>58841.119999999995</v>
      </c>
      <c r="R3" s="4"/>
      <c r="S3" s="3"/>
      <c r="T3" s="3"/>
    </row>
    <row r="4" spans="1:20" ht="13.5" thickBot="1" x14ac:dyDescent="0.25">
      <c r="B4" s="7" t="s">
        <v>30</v>
      </c>
      <c r="D4" s="5">
        <f t="shared" ref="D4:H4" si="0">SUM(D2:D3)</f>
        <v>8000</v>
      </c>
      <c r="E4" s="5">
        <f t="shared" si="0"/>
        <v>1562.5</v>
      </c>
      <c r="F4" s="5">
        <f t="shared" si="0"/>
        <v>1562.5</v>
      </c>
      <c r="G4" s="5">
        <f t="shared" si="0"/>
        <v>150</v>
      </c>
      <c r="H4" s="5">
        <f t="shared" si="0"/>
        <v>4375</v>
      </c>
      <c r="I4" s="5">
        <f>SUM(I2:I3)</f>
        <v>22556.28</v>
      </c>
      <c r="J4" s="5">
        <f t="shared" ref="J4:P4" si="1">SUM(J2:J3)</f>
        <v>41200.04</v>
      </c>
      <c r="K4" s="5">
        <f t="shared" si="1"/>
        <v>44950.32</v>
      </c>
      <c r="L4" s="5">
        <f t="shared" si="1"/>
        <v>42726</v>
      </c>
      <c r="M4" s="5">
        <f t="shared" si="1"/>
        <v>39020.949999999997</v>
      </c>
      <c r="N4" s="5">
        <f t="shared" si="1"/>
        <v>33599.89</v>
      </c>
      <c r="O4" s="5">
        <f t="shared" si="1"/>
        <v>7351.39</v>
      </c>
      <c r="P4" s="5">
        <f t="shared" si="1"/>
        <v>17758</v>
      </c>
      <c r="Q4" s="5">
        <f>SUM(Q2:Q3)</f>
        <v>264812.87</v>
      </c>
      <c r="R4" s="4"/>
      <c r="S4" s="3"/>
      <c r="T4" s="3"/>
    </row>
    <row r="5" spans="1:20" ht="13.5" thickTop="1" x14ac:dyDescent="0.2">
      <c r="A5" s="50" t="s">
        <v>294</v>
      </c>
      <c r="C5" s="2">
        <f>40000-E4</f>
        <v>38437.5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3"/>
      <c r="T5" s="3"/>
    </row>
    <row r="6" spans="1:20" x14ac:dyDescent="0.2">
      <c r="A6" s="50" t="s">
        <v>293</v>
      </c>
      <c r="C6" s="2">
        <f>40000-F4</f>
        <v>38437.5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4"/>
      <c r="S6" s="3"/>
      <c r="T6" s="3"/>
    </row>
    <row r="7" spans="1:20" x14ac:dyDescent="0.2">
      <c r="A7" s="50" t="s">
        <v>55</v>
      </c>
      <c r="C7" s="2">
        <f>50000-G4</f>
        <v>49850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4"/>
      <c r="S7" s="3"/>
      <c r="T7" s="3"/>
    </row>
    <row r="8" spans="1:20" ht="13.5" thickBot="1" x14ac:dyDescent="0.25">
      <c r="C8" s="5">
        <f>SUM(C5:C7)</f>
        <v>126725</v>
      </c>
      <c r="D8" s="52"/>
      <c r="E8" s="52"/>
      <c r="F8" s="52"/>
      <c r="G8" s="52"/>
      <c r="H8" s="52"/>
      <c r="I8" s="2"/>
      <c r="J8" s="2"/>
      <c r="K8" s="2"/>
      <c r="L8" s="2"/>
      <c r="M8" s="2"/>
      <c r="N8" s="2"/>
      <c r="O8" s="2"/>
      <c r="P8" s="2"/>
      <c r="Q8" s="2"/>
      <c r="R8" s="4"/>
      <c r="S8" s="3"/>
      <c r="T8" s="3"/>
    </row>
    <row r="9" spans="1:20" ht="13.5" thickTop="1" x14ac:dyDescent="0.2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 t="s">
        <v>292</v>
      </c>
      <c r="S9" s="7" t="s">
        <v>295</v>
      </c>
      <c r="T9" s="7" t="s">
        <v>296</v>
      </c>
    </row>
    <row r="10" spans="1:20" x14ac:dyDescent="0.2">
      <c r="A10" t="s">
        <v>49</v>
      </c>
      <c r="B10" s="7" t="s">
        <v>54</v>
      </c>
      <c r="D10">
        <v>8000</v>
      </c>
      <c r="E10" s="2">
        <f>+'Pension Funds'!J11/0.8</f>
        <v>7812.5</v>
      </c>
      <c r="F10" s="2">
        <v>8187.5</v>
      </c>
      <c r="G10" s="2">
        <f>+'Pension Funds'!R11+'Pension Funds'!R17</f>
        <v>7487.5</v>
      </c>
      <c r="H10" s="2">
        <f>+'Pension Funds'!V11+'Pension Funds'!V17</f>
        <v>4375</v>
      </c>
      <c r="I10" s="2">
        <v>9694</v>
      </c>
      <c r="J10" s="2">
        <v>6594</v>
      </c>
      <c r="K10" s="2">
        <v>5590</v>
      </c>
      <c r="L10" s="2">
        <v>3600</v>
      </c>
      <c r="M10" s="2">
        <v>5965</v>
      </c>
      <c r="N10" s="2">
        <v>3600</v>
      </c>
      <c r="O10" s="2">
        <v>3600</v>
      </c>
      <c r="P10" s="2">
        <v>4564.79</v>
      </c>
      <c r="Q10" s="2">
        <f>SUM(D10:P10)</f>
        <v>79070.289999999994</v>
      </c>
      <c r="R10" s="4">
        <f>+Q10*0.2</f>
        <v>15814.057999999999</v>
      </c>
      <c r="S10" s="3">
        <f>+Q10-R10</f>
        <v>63256.231999999996</v>
      </c>
      <c r="T10" s="3">
        <f>+Q11</f>
        <v>6821</v>
      </c>
    </row>
    <row r="11" spans="1:20" x14ac:dyDescent="0.2">
      <c r="B11" s="7" t="s">
        <v>48</v>
      </c>
      <c r="E11" s="2"/>
      <c r="F11" s="2"/>
      <c r="G11" s="2"/>
      <c r="H11" s="2"/>
      <c r="I11" s="2">
        <v>0</v>
      </c>
      <c r="J11" s="2">
        <v>2000</v>
      </c>
      <c r="K11" s="2">
        <v>0</v>
      </c>
      <c r="L11" s="2">
        <v>0</v>
      </c>
      <c r="M11" s="2">
        <v>0</v>
      </c>
      <c r="N11" s="2">
        <v>1221</v>
      </c>
      <c r="O11" s="2">
        <v>0</v>
      </c>
      <c r="P11" s="2">
        <v>3600</v>
      </c>
      <c r="Q11" s="2">
        <f>SUM(E11:P11)</f>
        <v>6821</v>
      </c>
      <c r="R11" s="4"/>
      <c r="S11" s="3"/>
      <c r="T11" s="3"/>
    </row>
    <row r="12" spans="1:20" ht="13.5" thickBot="1" x14ac:dyDescent="0.25">
      <c r="B12" s="7" t="s">
        <v>30</v>
      </c>
      <c r="D12" s="5">
        <f>SUM(D10:D11)</f>
        <v>8000</v>
      </c>
      <c r="E12" s="5">
        <f>SUM(E10:E11)</f>
        <v>7812.5</v>
      </c>
      <c r="F12" s="5">
        <f>SUM(F10:F11)</f>
        <v>8187.5</v>
      </c>
      <c r="G12" s="5">
        <f t="shared" ref="G12:H12" si="2">SUM(G10:G11)</f>
        <v>7487.5</v>
      </c>
      <c r="H12" s="5">
        <f t="shared" si="2"/>
        <v>4375</v>
      </c>
      <c r="I12" s="5">
        <f>SUM(I10:I11)</f>
        <v>9694</v>
      </c>
      <c r="J12" s="5">
        <f t="shared" ref="J12:P12" si="3">SUM(J10:J11)</f>
        <v>8594</v>
      </c>
      <c r="K12" s="5">
        <f t="shared" si="3"/>
        <v>5590</v>
      </c>
      <c r="L12" s="5">
        <f t="shared" si="3"/>
        <v>3600</v>
      </c>
      <c r="M12" s="5">
        <f t="shared" si="3"/>
        <v>5965</v>
      </c>
      <c r="N12" s="5">
        <f t="shared" si="3"/>
        <v>4821</v>
      </c>
      <c r="O12" s="5">
        <f t="shared" si="3"/>
        <v>3600</v>
      </c>
      <c r="P12" s="5">
        <f t="shared" si="3"/>
        <v>8164.79</v>
      </c>
      <c r="Q12" s="5">
        <f>SUM(Q10:Q11)</f>
        <v>85891.29</v>
      </c>
      <c r="R12" s="4"/>
      <c r="S12" s="3"/>
      <c r="T12" s="3"/>
    </row>
    <row r="13" spans="1:20" ht="13.5" thickTop="1" x14ac:dyDescent="0.2"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4"/>
      <c r="S13" s="3"/>
      <c r="T13" s="3"/>
    </row>
    <row r="14" spans="1:20" x14ac:dyDescent="0.2">
      <c r="A14" t="s">
        <v>294</v>
      </c>
      <c r="C14" s="8">
        <f>40000-E12</f>
        <v>32187.5</v>
      </c>
      <c r="D14" s="8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4"/>
      <c r="S14" s="3"/>
      <c r="T14" s="3"/>
    </row>
    <row r="15" spans="1:20" x14ac:dyDescent="0.2">
      <c r="A15" s="50" t="s">
        <v>293</v>
      </c>
      <c r="C15" s="2">
        <f>40000-F12</f>
        <v>31812.5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/>
      <c r="S15" s="3"/>
      <c r="T15" s="3"/>
    </row>
    <row r="16" spans="1:20" x14ac:dyDescent="0.2">
      <c r="A16" s="50" t="s">
        <v>55</v>
      </c>
      <c r="C16" s="2">
        <f>+C15-G12</f>
        <v>24325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/>
      <c r="S16" s="3"/>
      <c r="T16" s="3"/>
    </row>
    <row r="17" spans="1:20" ht="13.5" thickBot="1" x14ac:dyDescent="0.25">
      <c r="C17" s="5">
        <f>SUM(C14:C16)</f>
        <v>88325</v>
      </c>
      <c r="D17" s="52"/>
      <c r="E17" s="52"/>
      <c r="F17" s="52"/>
      <c r="G17" s="52"/>
      <c r="H17" s="52"/>
      <c r="I17" s="2"/>
      <c r="J17" s="2"/>
      <c r="K17" s="2"/>
      <c r="L17" s="2"/>
      <c r="M17" s="2"/>
      <c r="N17" s="2"/>
      <c r="O17" s="2"/>
      <c r="P17" s="2"/>
      <c r="Q17" s="2"/>
      <c r="R17" s="4"/>
      <c r="S17" s="3"/>
      <c r="T17" s="3"/>
    </row>
    <row r="18" spans="1:20" ht="13.5" thickTop="1" x14ac:dyDescent="0.2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/>
      <c r="S18" s="3"/>
      <c r="T18" s="3"/>
    </row>
    <row r="19" spans="1:20" x14ac:dyDescent="0.2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/>
      <c r="S19" s="3"/>
      <c r="T19" s="3"/>
    </row>
    <row r="20" spans="1:20" x14ac:dyDescent="0.2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/>
      <c r="S20" s="3"/>
      <c r="T20" s="3"/>
    </row>
    <row r="21" spans="1:20" x14ac:dyDescent="0.2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/>
      <c r="S21" s="3"/>
      <c r="T21" s="3"/>
    </row>
    <row r="22" spans="1:20" x14ac:dyDescent="0.2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s">
        <v>292</v>
      </c>
      <c r="S22" s="7" t="s">
        <v>295</v>
      </c>
      <c r="T22" s="7" t="s">
        <v>296</v>
      </c>
    </row>
    <row r="23" spans="1:20" ht="13.5" thickBot="1" x14ac:dyDescent="0.25">
      <c r="A23" s="1" t="s">
        <v>273</v>
      </c>
      <c r="D23" s="5">
        <f t="shared" ref="D23:Q23" si="4">+D12+D4</f>
        <v>16000</v>
      </c>
      <c r="E23" s="5">
        <f t="shared" si="4"/>
        <v>9375</v>
      </c>
      <c r="F23" s="5">
        <f t="shared" si="4"/>
        <v>9750</v>
      </c>
      <c r="G23" s="5">
        <f t="shared" si="4"/>
        <v>7637.5</v>
      </c>
      <c r="H23" s="5">
        <f t="shared" si="4"/>
        <v>8750</v>
      </c>
      <c r="I23" s="5">
        <f t="shared" si="4"/>
        <v>32250.28</v>
      </c>
      <c r="J23" s="5">
        <f t="shared" si="4"/>
        <v>49794.04</v>
      </c>
      <c r="K23" s="5">
        <f t="shared" si="4"/>
        <v>50540.32</v>
      </c>
      <c r="L23" s="5">
        <f t="shared" si="4"/>
        <v>46326</v>
      </c>
      <c r="M23" s="5">
        <f t="shared" si="4"/>
        <v>44985.95</v>
      </c>
      <c r="N23" s="5">
        <f t="shared" si="4"/>
        <v>38420.89</v>
      </c>
      <c r="O23" s="5">
        <f t="shared" si="4"/>
        <v>10951.39</v>
      </c>
      <c r="P23" s="5">
        <f t="shared" si="4"/>
        <v>25922.79</v>
      </c>
      <c r="Q23" s="5">
        <f t="shared" si="4"/>
        <v>350704.16</v>
      </c>
      <c r="R23" s="115">
        <f>+R10+R2</f>
        <v>57008.408000000003</v>
      </c>
      <c r="S23" s="3">
        <f>+S2+S10</f>
        <v>228033.63199999998</v>
      </c>
      <c r="T23" s="3">
        <f>+T2+T10</f>
        <v>65662.12</v>
      </c>
    </row>
    <row r="24" spans="1:20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62</v>
      </c>
      <c r="B2" s="56" t="s">
        <v>63</v>
      </c>
      <c r="C2" s="56" t="s">
        <v>64</v>
      </c>
      <c r="D2" s="56" t="s">
        <v>65</v>
      </c>
    </row>
    <row r="3" spans="1:6" ht="12.75" customHeight="1" x14ac:dyDescent="0.2">
      <c r="A3" s="182" t="s">
        <v>66</v>
      </c>
      <c r="B3" s="183" t="s">
        <v>67</v>
      </c>
      <c r="C3" s="183">
        <v>0.35909999999999997</v>
      </c>
      <c r="D3" s="181">
        <v>20000</v>
      </c>
    </row>
    <row r="4" spans="1:6" x14ac:dyDescent="0.2">
      <c r="A4" s="182"/>
      <c r="B4" s="183"/>
      <c r="C4" s="183"/>
      <c r="D4" s="181"/>
    </row>
    <row r="5" spans="1:6" x14ac:dyDescent="0.2">
      <c r="A5" s="182"/>
      <c r="B5" s="183"/>
      <c r="C5" s="183"/>
      <c r="D5" s="181"/>
      <c r="E5" s="74">
        <f>+(C3*D3)/1.4</f>
        <v>5130</v>
      </c>
      <c r="F5" t="s">
        <v>96</v>
      </c>
    </row>
    <row r="6" spans="1:6" x14ac:dyDescent="0.2">
      <c r="A6" s="182"/>
      <c r="B6" s="183"/>
      <c r="C6" s="183"/>
      <c r="D6" s="181"/>
    </row>
    <row r="7" spans="1:6" x14ac:dyDescent="0.2">
      <c r="A7" s="182"/>
      <c r="B7" s="183"/>
      <c r="C7" s="183"/>
      <c r="D7" s="181"/>
    </row>
    <row r="8" spans="1:6" ht="12.75" customHeight="1" x14ac:dyDescent="0.2">
      <c r="A8" s="182" t="s">
        <v>68</v>
      </c>
      <c r="B8" s="183" t="s">
        <v>69</v>
      </c>
      <c r="C8" s="183">
        <v>52.16</v>
      </c>
      <c r="D8" s="181">
        <v>23831</v>
      </c>
    </row>
    <row r="9" spans="1:6" x14ac:dyDescent="0.2">
      <c r="A9" s="182"/>
      <c r="B9" s="183"/>
      <c r="C9" s="183"/>
      <c r="D9" s="181"/>
    </row>
    <row r="10" spans="1:6" x14ac:dyDescent="0.2">
      <c r="A10" s="182"/>
      <c r="B10" s="183"/>
      <c r="C10" s="183"/>
      <c r="D10" s="181"/>
      <c r="E10" s="74">
        <f>+C8*D8/100</f>
        <v>12430.249599999999</v>
      </c>
    </row>
    <row r="11" spans="1:6" x14ac:dyDescent="0.2">
      <c r="A11" s="182"/>
      <c r="B11" s="183"/>
      <c r="C11" s="183"/>
      <c r="D11" s="181"/>
    </row>
    <row r="12" spans="1:6" x14ac:dyDescent="0.2">
      <c r="A12" s="182"/>
      <c r="B12" s="183"/>
      <c r="C12" s="183"/>
      <c r="D12" s="181"/>
    </row>
    <row r="13" spans="1:6" ht="12.75" customHeight="1" x14ac:dyDescent="0.2">
      <c r="A13" s="182" t="s">
        <v>70</v>
      </c>
      <c r="B13" s="183" t="s">
        <v>71</v>
      </c>
      <c r="C13" s="183">
        <v>1.8478619999999999</v>
      </c>
      <c r="D13" s="181">
        <v>541166</v>
      </c>
    </row>
    <row r="14" spans="1:6" x14ac:dyDescent="0.2">
      <c r="A14" s="182"/>
      <c r="B14" s="183"/>
      <c r="C14" s="183"/>
      <c r="D14" s="181"/>
    </row>
    <row r="15" spans="1:6" x14ac:dyDescent="0.2">
      <c r="A15" s="182"/>
      <c r="B15" s="183"/>
      <c r="C15" s="183"/>
      <c r="D15" s="181"/>
      <c r="E15" s="74">
        <f>+C13*D13/100</f>
        <v>10000.000870919999</v>
      </c>
    </row>
    <row r="16" spans="1:6" x14ac:dyDescent="0.2">
      <c r="A16" s="182"/>
      <c r="B16" s="183"/>
      <c r="C16" s="183"/>
      <c r="D16" s="181"/>
    </row>
    <row r="17" spans="1:5" x14ac:dyDescent="0.2">
      <c r="A17" s="182"/>
      <c r="B17" s="183"/>
      <c r="C17" s="183"/>
      <c r="D17" s="181"/>
    </row>
    <row r="18" spans="1:5" ht="12.75" customHeight="1" x14ac:dyDescent="0.2">
      <c r="A18" s="182" t="s">
        <v>72</v>
      </c>
      <c r="B18" s="183" t="s">
        <v>73</v>
      </c>
      <c r="C18" s="183">
        <v>212.953</v>
      </c>
      <c r="D18" s="181">
        <v>4000</v>
      </c>
    </row>
    <row r="19" spans="1:5" x14ac:dyDescent="0.2">
      <c r="A19" s="182"/>
      <c r="B19" s="183"/>
      <c r="C19" s="183"/>
      <c r="D19" s="181"/>
    </row>
    <row r="20" spans="1:5" x14ac:dyDescent="0.2">
      <c r="A20" s="182"/>
      <c r="B20" s="183"/>
      <c r="C20" s="183"/>
      <c r="D20" s="181"/>
      <c r="E20" s="74">
        <f>+C18*D18/100</f>
        <v>8518.1200000000008</v>
      </c>
    </row>
    <row r="21" spans="1:5" x14ac:dyDescent="0.2">
      <c r="A21" s="182"/>
      <c r="B21" s="183"/>
      <c r="C21" s="183"/>
      <c r="D21" s="181"/>
    </row>
    <row r="22" spans="1:5" x14ac:dyDescent="0.2">
      <c r="A22" s="182"/>
      <c r="B22" s="183"/>
      <c r="C22" s="183"/>
      <c r="D22" s="181"/>
    </row>
    <row r="23" spans="1:5" ht="12.75" customHeight="1" x14ac:dyDescent="0.2">
      <c r="A23" s="182" t="s">
        <v>74</v>
      </c>
      <c r="B23" s="183" t="s">
        <v>75</v>
      </c>
      <c r="C23" s="184">
        <v>1217.5</v>
      </c>
      <c r="D23" s="183">
        <v>800</v>
      </c>
    </row>
    <row r="24" spans="1:5" x14ac:dyDescent="0.2">
      <c r="A24" s="182"/>
      <c r="B24" s="183"/>
      <c r="C24" s="184"/>
      <c r="D24" s="183"/>
    </row>
    <row r="25" spans="1:5" x14ac:dyDescent="0.2">
      <c r="A25" s="182"/>
      <c r="B25" s="183"/>
      <c r="C25" s="184"/>
      <c r="D25" s="183"/>
      <c r="E25" s="74">
        <f>+C23*D23/100</f>
        <v>9740</v>
      </c>
    </row>
    <row r="26" spans="1:5" x14ac:dyDescent="0.2">
      <c r="A26" s="182"/>
      <c r="B26" s="183"/>
      <c r="C26" s="184"/>
      <c r="D26" s="183"/>
    </row>
    <row r="27" spans="1:5" x14ac:dyDescent="0.2">
      <c r="A27" s="182"/>
      <c r="B27" s="183"/>
      <c r="C27" s="184"/>
      <c r="D27" s="183"/>
    </row>
    <row r="28" spans="1:5" ht="12.75" customHeight="1" x14ac:dyDescent="0.2">
      <c r="A28" s="182" t="s">
        <v>76</v>
      </c>
      <c r="B28" s="183" t="s">
        <v>77</v>
      </c>
      <c r="C28" s="183">
        <v>0.40891899999999998</v>
      </c>
      <c r="D28" s="181">
        <v>2445473</v>
      </c>
    </row>
    <row r="29" spans="1:5" x14ac:dyDescent="0.2">
      <c r="A29" s="182"/>
      <c r="B29" s="183"/>
      <c r="C29" s="183"/>
      <c r="D29" s="181"/>
    </row>
    <row r="30" spans="1:5" x14ac:dyDescent="0.2">
      <c r="A30" s="182"/>
      <c r="B30" s="183"/>
      <c r="C30" s="183"/>
      <c r="D30" s="181"/>
      <c r="E30" s="74">
        <f>+C28*D28/100</f>
        <v>10000.00373687</v>
      </c>
    </row>
    <row r="31" spans="1:5" x14ac:dyDescent="0.2">
      <c r="A31" s="182"/>
      <c r="B31" s="183"/>
      <c r="C31" s="183"/>
      <c r="D31" s="181"/>
    </row>
    <row r="32" spans="1:5" x14ac:dyDescent="0.2">
      <c r="A32" s="182"/>
      <c r="B32" s="183"/>
      <c r="C32" s="183"/>
      <c r="D32" s="181"/>
    </row>
    <row r="33" spans="1:5" ht="12.75" customHeight="1" x14ac:dyDescent="0.2">
      <c r="A33" s="182" t="s">
        <v>78</v>
      </c>
      <c r="B33" s="183" t="s">
        <v>79</v>
      </c>
      <c r="C33" s="183">
        <v>260.96033399999999</v>
      </c>
      <c r="D33" s="181">
        <v>1916</v>
      </c>
    </row>
    <row r="34" spans="1:5" x14ac:dyDescent="0.2">
      <c r="A34" s="182"/>
      <c r="B34" s="183"/>
      <c r="C34" s="183"/>
      <c r="D34" s="181"/>
    </row>
    <row r="35" spans="1:5" x14ac:dyDescent="0.2">
      <c r="A35" s="182"/>
      <c r="B35" s="183"/>
      <c r="C35" s="183"/>
      <c r="D35" s="181"/>
      <c r="E35" s="74">
        <f>+C33*D33/100</f>
        <v>4999.9999994399996</v>
      </c>
    </row>
    <row r="36" spans="1:5" x14ac:dyDescent="0.2">
      <c r="A36" s="182"/>
      <c r="B36" s="183"/>
      <c r="C36" s="183"/>
      <c r="D36" s="181"/>
    </row>
    <row r="37" spans="1:5" x14ac:dyDescent="0.2">
      <c r="A37" s="182"/>
      <c r="B37" s="183"/>
      <c r="C37" s="183"/>
      <c r="D37" s="181"/>
    </row>
    <row r="38" spans="1:5" ht="12.75" customHeight="1" x14ac:dyDescent="0.2">
      <c r="A38" s="182" t="s">
        <v>80</v>
      </c>
      <c r="B38" s="183" t="s">
        <v>81</v>
      </c>
      <c r="C38" s="183">
        <v>182.98920200000001</v>
      </c>
      <c r="D38" s="181">
        <v>5464</v>
      </c>
    </row>
    <row r="39" spans="1:5" x14ac:dyDescent="0.2">
      <c r="A39" s="182"/>
      <c r="B39" s="183"/>
      <c r="C39" s="183"/>
      <c r="D39" s="181"/>
    </row>
    <row r="40" spans="1:5" x14ac:dyDescent="0.2">
      <c r="A40" s="182"/>
      <c r="B40" s="183"/>
      <c r="C40" s="183"/>
      <c r="D40" s="181"/>
      <c r="E40" s="74">
        <f>+C38*D38/100</f>
        <v>9998.5299972800003</v>
      </c>
    </row>
    <row r="41" spans="1:5" x14ac:dyDescent="0.2">
      <c r="A41" s="182"/>
      <c r="B41" s="183"/>
      <c r="C41" s="183"/>
      <c r="D41" s="181"/>
    </row>
    <row r="42" spans="1:5" x14ac:dyDescent="0.2">
      <c r="A42" s="182"/>
      <c r="B42" s="183"/>
      <c r="C42" s="183"/>
      <c r="D42" s="181"/>
    </row>
    <row r="43" spans="1:5" ht="12.75" customHeight="1" x14ac:dyDescent="0.2">
      <c r="A43" s="182" t="s">
        <v>82</v>
      </c>
      <c r="B43" s="183" t="s">
        <v>83</v>
      </c>
      <c r="C43" s="183">
        <v>5.6349999999999998</v>
      </c>
      <c r="D43" s="181">
        <v>245016</v>
      </c>
    </row>
    <row r="44" spans="1:5" x14ac:dyDescent="0.2">
      <c r="A44" s="182"/>
      <c r="B44" s="183"/>
      <c r="C44" s="183"/>
      <c r="D44" s="181"/>
    </row>
    <row r="45" spans="1:5" x14ac:dyDescent="0.2">
      <c r="A45" s="182"/>
      <c r="B45" s="183"/>
      <c r="C45" s="183"/>
      <c r="D45" s="181"/>
      <c r="E45" s="74">
        <f>+C43*D43/100</f>
        <v>13806.651599999999</v>
      </c>
    </row>
    <row r="46" spans="1:5" x14ac:dyDescent="0.2">
      <c r="A46" s="182"/>
      <c r="B46" s="183"/>
      <c r="C46" s="183"/>
      <c r="D46" s="181"/>
    </row>
    <row r="47" spans="1:5" x14ac:dyDescent="0.2">
      <c r="A47" s="182"/>
      <c r="B47" s="183"/>
      <c r="C47" s="183"/>
      <c r="D47" s="181"/>
    </row>
    <row r="48" spans="1:5" ht="12.75" customHeight="1" x14ac:dyDescent="0.2">
      <c r="A48" s="182" t="s">
        <v>84</v>
      </c>
      <c r="B48" s="183" t="s">
        <v>85</v>
      </c>
      <c r="C48" s="183">
        <v>1.059353</v>
      </c>
      <c r="D48" s="181">
        <v>1887945</v>
      </c>
    </row>
    <row r="49" spans="1:5" x14ac:dyDescent="0.2">
      <c r="A49" s="182"/>
      <c r="B49" s="183"/>
      <c r="C49" s="183"/>
      <c r="D49" s="181"/>
    </row>
    <row r="50" spans="1:5" x14ac:dyDescent="0.2">
      <c r="A50" s="182"/>
      <c r="B50" s="183"/>
      <c r="C50" s="183"/>
      <c r="D50" s="181"/>
      <c r="E50" s="74">
        <f>+C48*D48/100</f>
        <v>20000.001995850002</v>
      </c>
    </row>
    <row r="51" spans="1:5" x14ac:dyDescent="0.2">
      <c r="A51" s="182"/>
      <c r="B51" s="183"/>
      <c r="C51" s="183"/>
      <c r="D51" s="181"/>
    </row>
    <row r="52" spans="1:5" x14ac:dyDescent="0.2">
      <c r="A52" s="182"/>
      <c r="B52" s="183"/>
      <c r="C52" s="183"/>
      <c r="D52" s="181"/>
    </row>
    <row r="53" spans="1:5" ht="12.75" customHeight="1" x14ac:dyDescent="0.2">
      <c r="A53" s="182" t="s">
        <v>86</v>
      </c>
      <c r="B53" s="183" t="s">
        <v>87</v>
      </c>
      <c r="C53" s="183">
        <v>264.26900000000001</v>
      </c>
      <c r="D53" s="181">
        <v>13111</v>
      </c>
    </row>
    <row r="54" spans="1:5" x14ac:dyDescent="0.2">
      <c r="A54" s="182"/>
      <c r="B54" s="183"/>
      <c r="C54" s="183"/>
      <c r="D54" s="181"/>
    </row>
    <row r="55" spans="1:5" x14ac:dyDescent="0.2">
      <c r="A55" s="182"/>
      <c r="B55" s="183"/>
      <c r="C55" s="183"/>
      <c r="D55" s="181"/>
      <c r="E55" s="74">
        <f>+C53*D53/100</f>
        <v>34648.308590000001</v>
      </c>
    </row>
    <row r="56" spans="1:5" x14ac:dyDescent="0.2">
      <c r="A56" s="182"/>
      <c r="B56" s="183"/>
      <c r="C56" s="183"/>
      <c r="D56" s="181"/>
    </row>
    <row r="57" spans="1:5" x14ac:dyDescent="0.2">
      <c r="A57" s="182"/>
      <c r="B57" s="183"/>
      <c r="C57" s="183"/>
      <c r="D57" s="181"/>
    </row>
    <row r="58" spans="1:5" ht="12.75" customHeight="1" x14ac:dyDescent="0.2">
      <c r="A58" s="182" t="s">
        <v>88</v>
      </c>
      <c r="B58" s="183" t="s">
        <v>89</v>
      </c>
      <c r="C58" s="183">
        <v>223.7</v>
      </c>
      <c r="D58" s="181">
        <v>4000</v>
      </c>
    </row>
    <row r="59" spans="1:5" x14ac:dyDescent="0.2">
      <c r="A59" s="182"/>
      <c r="B59" s="183"/>
      <c r="C59" s="183"/>
      <c r="D59" s="181"/>
    </row>
    <row r="60" spans="1:5" x14ac:dyDescent="0.2">
      <c r="A60" s="182"/>
      <c r="B60" s="183"/>
      <c r="C60" s="183"/>
      <c r="D60" s="181"/>
      <c r="E60" s="74">
        <f>+C58*D58/100</f>
        <v>8948</v>
      </c>
    </row>
    <row r="61" spans="1:5" x14ac:dyDescent="0.2">
      <c r="A61" s="182"/>
      <c r="B61" s="183"/>
      <c r="C61" s="183"/>
      <c r="D61" s="181"/>
    </row>
    <row r="62" spans="1:5" x14ac:dyDescent="0.2">
      <c r="A62" s="182"/>
      <c r="B62" s="183"/>
      <c r="C62" s="183"/>
      <c r="D62" s="181"/>
    </row>
    <row r="63" spans="1:5" ht="12.75" customHeight="1" x14ac:dyDescent="0.2">
      <c r="A63" s="182" t="s">
        <v>90</v>
      </c>
      <c r="B63" s="183" t="s">
        <v>91</v>
      </c>
      <c r="C63" s="183">
        <v>157.84233</v>
      </c>
      <c r="D63" s="181">
        <v>3000</v>
      </c>
    </row>
    <row r="64" spans="1:5" x14ac:dyDescent="0.2">
      <c r="A64" s="182"/>
      <c r="B64" s="183"/>
      <c r="C64" s="183"/>
      <c r="D64" s="181"/>
    </row>
    <row r="65" spans="1:6" x14ac:dyDescent="0.2">
      <c r="A65" s="182"/>
      <c r="B65" s="183"/>
      <c r="C65" s="183"/>
      <c r="D65" s="181"/>
      <c r="E65" s="74">
        <f>+C63*D63/100</f>
        <v>4735.2699000000002</v>
      </c>
    </row>
    <row r="66" spans="1:6" x14ac:dyDescent="0.2">
      <c r="A66" s="182"/>
      <c r="B66" s="183"/>
      <c r="C66" s="183"/>
      <c r="D66" s="181"/>
    </row>
    <row r="67" spans="1:6" x14ac:dyDescent="0.2">
      <c r="A67" s="182"/>
      <c r="B67" s="183"/>
      <c r="C67" s="183"/>
      <c r="D67" s="181"/>
    </row>
    <row r="68" spans="1:6" ht="12.75" customHeight="1" x14ac:dyDescent="0.2">
      <c r="A68" s="182" t="s">
        <v>92</v>
      </c>
      <c r="B68" s="183" t="s">
        <v>93</v>
      </c>
      <c r="C68" s="183">
        <v>91.652428999999998</v>
      </c>
      <c r="D68" s="181">
        <v>27275</v>
      </c>
    </row>
    <row r="69" spans="1:6" x14ac:dyDescent="0.2">
      <c r="A69" s="182"/>
      <c r="B69" s="183"/>
      <c r="C69" s="183"/>
      <c r="D69" s="181"/>
    </row>
    <row r="70" spans="1:6" x14ac:dyDescent="0.2">
      <c r="A70" s="182"/>
      <c r="B70" s="183"/>
      <c r="C70" s="183"/>
      <c r="D70" s="181"/>
      <c r="E70" s="74">
        <f>+C68*D68/100</f>
        <v>24998.200009749999</v>
      </c>
    </row>
    <row r="71" spans="1:6" x14ac:dyDescent="0.2">
      <c r="A71" s="182"/>
      <c r="B71" s="183"/>
      <c r="C71" s="183"/>
      <c r="D71" s="181"/>
    </row>
    <row r="72" spans="1:6" x14ac:dyDescent="0.2">
      <c r="A72" s="182"/>
      <c r="B72" s="183"/>
      <c r="C72" s="183"/>
      <c r="D72" s="181"/>
    </row>
    <row r="73" spans="1:6" ht="12.75" customHeight="1" x14ac:dyDescent="0.2">
      <c r="A73" s="182" t="s">
        <v>94</v>
      </c>
      <c r="B73" s="183" t="s">
        <v>95</v>
      </c>
      <c r="C73" s="183">
        <v>0.21668899999999999</v>
      </c>
      <c r="D73" s="181">
        <v>11537280</v>
      </c>
    </row>
    <row r="74" spans="1:6" x14ac:dyDescent="0.2">
      <c r="A74" s="182"/>
      <c r="B74" s="183"/>
      <c r="C74" s="183"/>
      <c r="D74" s="181"/>
    </row>
    <row r="75" spans="1:6" x14ac:dyDescent="0.2">
      <c r="A75" s="182"/>
      <c r="B75" s="183"/>
      <c r="C75" s="183"/>
      <c r="D75" s="181"/>
      <c r="E75" s="74">
        <f>+C73*D73/100</f>
        <v>25000.016659200002</v>
      </c>
    </row>
    <row r="76" spans="1:6" x14ac:dyDescent="0.2">
      <c r="A76" s="182"/>
      <c r="B76" s="183"/>
      <c r="C76" s="183"/>
      <c r="D76" s="181"/>
    </row>
    <row r="77" spans="1:6" x14ac:dyDescent="0.2">
      <c r="A77" s="182"/>
      <c r="B77" s="183"/>
      <c r="C77" s="183"/>
      <c r="D77" s="181"/>
    </row>
    <row r="78" spans="1:6" x14ac:dyDescent="0.2">
      <c r="A78" t="s">
        <v>97</v>
      </c>
      <c r="C78">
        <f>+E78/D78</f>
        <v>1.5065687690845302E-2</v>
      </c>
      <c r="D78">
        <v>663823</v>
      </c>
      <c r="E78" s="74">
        <v>10000.950000000001</v>
      </c>
      <c r="F78" s="50" t="s">
        <v>212</v>
      </c>
    </row>
    <row r="80" spans="1:6" x14ac:dyDescent="0.2">
      <c r="B80" t="s">
        <v>98</v>
      </c>
      <c r="E80" s="74">
        <f>SUM(E3:E79)</f>
        <v>212954.30295931001</v>
      </c>
    </row>
    <row r="82" spans="2:5" x14ac:dyDescent="0.2">
      <c r="B82" t="s">
        <v>99</v>
      </c>
      <c r="E82" s="74">
        <f>+'Pension Funds'!N51</f>
        <v>155629.09</v>
      </c>
    </row>
    <row r="85" spans="2:5" ht="13.5" thickBot="1" x14ac:dyDescent="0.25">
      <c r="B85" s="57" t="s">
        <v>100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215</v>
      </c>
      <c r="C1" s="109" t="s">
        <v>216</v>
      </c>
      <c r="D1" s="109" t="s">
        <v>217</v>
      </c>
      <c r="E1" s="109" t="s">
        <v>218</v>
      </c>
      <c r="F1" s="109" t="s">
        <v>219</v>
      </c>
      <c r="G1" s="109" t="s">
        <v>280</v>
      </c>
      <c r="H1" s="110" t="s">
        <v>220</v>
      </c>
      <c r="I1" s="111" t="s">
        <v>251</v>
      </c>
      <c r="J1" s="111" t="s">
        <v>268</v>
      </c>
      <c r="K1" s="111" t="s">
        <v>271</v>
      </c>
    </row>
    <row r="2" spans="1:11" ht="13.5" hidden="1" customHeight="1" outlineLevel="2" x14ac:dyDescent="0.2">
      <c r="A2" s="85"/>
      <c r="B2" s="79" t="s">
        <v>221</v>
      </c>
      <c r="C2" s="79" t="s">
        <v>222</v>
      </c>
      <c r="D2" s="79" t="s">
        <v>129</v>
      </c>
      <c r="E2" s="79" t="s">
        <v>223</v>
      </c>
      <c r="F2" s="80">
        <v>20000</v>
      </c>
      <c r="G2" s="80">
        <v>5223.91</v>
      </c>
      <c r="H2" s="86" t="s">
        <v>224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252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221</v>
      </c>
      <c r="C4" s="82" t="s">
        <v>222</v>
      </c>
      <c r="D4" s="82" t="s">
        <v>225</v>
      </c>
      <c r="E4" s="82" t="s">
        <v>226</v>
      </c>
      <c r="F4" s="83">
        <v>18831</v>
      </c>
      <c r="G4" s="83">
        <v>11166.78</v>
      </c>
      <c r="H4" s="88" t="s">
        <v>224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221</v>
      </c>
      <c r="C5" s="79" t="s">
        <v>222</v>
      </c>
      <c r="D5" s="79" t="s">
        <v>225</v>
      </c>
      <c r="E5" s="79" t="s">
        <v>226</v>
      </c>
      <c r="F5" s="80">
        <v>5000</v>
      </c>
      <c r="G5" s="80">
        <v>2965</v>
      </c>
      <c r="H5" s="86" t="s">
        <v>224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253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221</v>
      </c>
      <c r="C7" s="82" t="s">
        <v>222</v>
      </c>
      <c r="D7" s="82" t="s">
        <v>227</v>
      </c>
      <c r="E7" s="82" t="s">
        <v>228</v>
      </c>
      <c r="F7" s="83">
        <v>1000</v>
      </c>
      <c r="G7" s="83">
        <v>2117.5</v>
      </c>
      <c r="H7" s="88" t="s">
        <v>224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221</v>
      </c>
      <c r="C8" s="79" t="s">
        <v>222</v>
      </c>
      <c r="D8" s="79" t="s">
        <v>227</v>
      </c>
      <c r="E8" s="79" t="s">
        <v>228</v>
      </c>
      <c r="F8" s="80">
        <v>2000</v>
      </c>
      <c r="G8" s="80">
        <v>4235</v>
      </c>
      <c r="H8" s="86" t="s">
        <v>224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221</v>
      </c>
      <c r="C9" s="82" t="s">
        <v>222</v>
      </c>
      <c r="D9" s="82" t="s">
        <v>227</v>
      </c>
      <c r="E9" s="82" t="s">
        <v>228</v>
      </c>
      <c r="F9" s="83">
        <v>1000</v>
      </c>
      <c r="G9" s="83">
        <v>2117.5</v>
      </c>
      <c r="H9" s="88" t="s">
        <v>224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254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221</v>
      </c>
      <c r="C11" s="79" t="s">
        <v>222</v>
      </c>
      <c r="D11" s="79" t="s">
        <v>229</v>
      </c>
      <c r="E11" s="79" t="s">
        <v>230</v>
      </c>
      <c r="F11" s="80">
        <v>541166</v>
      </c>
      <c r="G11" s="80">
        <v>3791.41</v>
      </c>
      <c r="H11" s="86" t="s">
        <v>224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255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221</v>
      </c>
      <c r="C13" s="82" t="s">
        <v>222</v>
      </c>
      <c r="D13" s="82" t="s">
        <v>231</v>
      </c>
      <c r="E13" s="82" t="s">
        <v>232</v>
      </c>
      <c r="F13" s="84">
        <v>400</v>
      </c>
      <c r="G13" s="83">
        <v>4640</v>
      </c>
      <c r="H13" s="88" t="s">
        <v>224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221</v>
      </c>
      <c r="C14" s="79" t="s">
        <v>222</v>
      </c>
      <c r="D14" s="79" t="s">
        <v>231</v>
      </c>
      <c r="E14" s="79" t="s">
        <v>232</v>
      </c>
      <c r="F14" s="81">
        <v>200</v>
      </c>
      <c r="G14" s="80">
        <v>2320</v>
      </c>
      <c r="H14" s="86" t="s">
        <v>224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221</v>
      </c>
      <c r="C15" s="82" t="s">
        <v>222</v>
      </c>
      <c r="D15" s="82" t="s">
        <v>231</v>
      </c>
      <c r="E15" s="82" t="s">
        <v>232</v>
      </c>
      <c r="F15" s="84">
        <v>200</v>
      </c>
      <c r="G15" s="83">
        <v>2320</v>
      </c>
      <c r="H15" s="88" t="s">
        <v>224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256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221</v>
      </c>
      <c r="C17" s="79" t="s">
        <v>222</v>
      </c>
      <c r="D17" s="79" t="s">
        <v>77</v>
      </c>
      <c r="E17" s="79" t="s">
        <v>233</v>
      </c>
      <c r="F17" s="80">
        <v>2445473</v>
      </c>
      <c r="G17" s="80">
        <v>3232.92</v>
      </c>
      <c r="H17" s="86" t="s">
        <v>224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257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221</v>
      </c>
      <c r="C19" s="82" t="s">
        <v>222</v>
      </c>
      <c r="D19" s="82" t="s">
        <v>234</v>
      </c>
      <c r="E19" s="82" t="s">
        <v>235</v>
      </c>
      <c r="F19" s="83">
        <v>1916</v>
      </c>
      <c r="G19" s="83">
        <v>3487.12</v>
      </c>
      <c r="H19" s="88" t="s">
        <v>224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258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221</v>
      </c>
      <c r="C21" s="79" t="s">
        <v>222</v>
      </c>
      <c r="D21" s="79" t="s">
        <v>236</v>
      </c>
      <c r="E21" s="79" t="s">
        <v>237</v>
      </c>
      <c r="F21" s="80">
        <v>5464</v>
      </c>
      <c r="G21" s="80">
        <v>12425.14</v>
      </c>
      <c r="H21" s="86" t="s">
        <v>224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259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221</v>
      </c>
      <c r="C23" s="82" t="s">
        <v>222</v>
      </c>
      <c r="D23" s="82" t="s">
        <v>83</v>
      </c>
      <c r="E23" s="82" t="s">
        <v>238</v>
      </c>
      <c r="F23" s="83">
        <v>122508</v>
      </c>
      <c r="G23" s="83">
        <v>7007.58</v>
      </c>
      <c r="H23" s="88" t="s">
        <v>224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221</v>
      </c>
      <c r="C24" s="79" t="s">
        <v>222</v>
      </c>
      <c r="D24" s="79" t="s">
        <v>83</v>
      </c>
      <c r="E24" s="79" t="s">
        <v>238</v>
      </c>
      <c r="F24" s="80">
        <v>122508</v>
      </c>
      <c r="G24" s="80">
        <v>7007.58</v>
      </c>
      <c r="H24" s="86" t="s">
        <v>224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260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221</v>
      </c>
      <c r="C26" s="82" t="s">
        <v>222</v>
      </c>
      <c r="D26" s="82" t="s">
        <v>239</v>
      </c>
      <c r="E26" s="82" t="s">
        <v>240</v>
      </c>
      <c r="F26" s="83">
        <v>1887945</v>
      </c>
      <c r="G26" s="83">
        <v>10006.11</v>
      </c>
      <c r="H26" s="88" t="s">
        <v>224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261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221</v>
      </c>
      <c r="C28" s="79" t="s">
        <v>222</v>
      </c>
      <c r="D28" s="79" t="s">
        <v>241</v>
      </c>
      <c r="E28" s="79" t="s">
        <v>242</v>
      </c>
      <c r="F28" s="80">
        <v>2000</v>
      </c>
      <c r="G28" s="80">
        <v>4886</v>
      </c>
      <c r="H28" s="86" t="s">
        <v>224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221</v>
      </c>
      <c r="C29" s="82" t="s">
        <v>222</v>
      </c>
      <c r="D29" s="82" t="s">
        <v>241</v>
      </c>
      <c r="E29" s="82" t="s">
        <v>242</v>
      </c>
      <c r="F29" s="83">
        <v>9111</v>
      </c>
      <c r="G29" s="83">
        <v>22258.17</v>
      </c>
      <c r="H29" s="88" t="s">
        <v>224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221</v>
      </c>
      <c r="C30" s="79" t="s">
        <v>222</v>
      </c>
      <c r="D30" s="79" t="s">
        <v>241</v>
      </c>
      <c r="E30" s="79" t="s">
        <v>242</v>
      </c>
      <c r="F30" s="80">
        <v>2000</v>
      </c>
      <c r="G30" s="80">
        <v>4886</v>
      </c>
      <c r="H30" s="86" t="s">
        <v>224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262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221</v>
      </c>
      <c r="C32" s="82" t="s">
        <v>222</v>
      </c>
      <c r="D32" s="82" t="s">
        <v>243</v>
      </c>
      <c r="E32" s="82" t="s">
        <v>244</v>
      </c>
      <c r="F32" s="83">
        <v>2000</v>
      </c>
      <c r="G32" s="83">
        <v>4444</v>
      </c>
      <c r="H32" s="88" t="s">
        <v>224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221</v>
      </c>
      <c r="C33" s="79" t="s">
        <v>222</v>
      </c>
      <c r="D33" s="79" t="s">
        <v>243</v>
      </c>
      <c r="E33" s="79" t="s">
        <v>244</v>
      </c>
      <c r="F33" s="80">
        <v>2000</v>
      </c>
      <c r="G33" s="80">
        <v>4444</v>
      </c>
      <c r="H33" s="86" t="s">
        <v>224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263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221</v>
      </c>
      <c r="C35" s="82" t="s">
        <v>222</v>
      </c>
      <c r="D35" s="82" t="s">
        <v>245</v>
      </c>
      <c r="E35" s="82" t="s">
        <v>246</v>
      </c>
      <c r="F35" s="83">
        <v>3000</v>
      </c>
      <c r="G35" s="83">
        <v>4687.5</v>
      </c>
      <c r="H35" s="88" t="s">
        <v>224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264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221</v>
      </c>
      <c r="C37" s="79" t="s">
        <v>222</v>
      </c>
      <c r="D37" s="79" t="s">
        <v>247</v>
      </c>
      <c r="E37" s="79" t="s">
        <v>248</v>
      </c>
      <c r="F37" s="80">
        <v>27275</v>
      </c>
      <c r="G37" s="80">
        <v>7154.1</v>
      </c>
      <c r="H37" s="86" t="s">
        <v>224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265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221</v>
      </c>
      <c r="C39" s="90" t="s">
        <v>222</v>
      </c>
      <c r="D39" s="90" t="s">
        <v>249</v>
      </c>
      <c r="E39" s="90" t="s">
        <v>250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266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267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272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269</v>
      </c>
      <c r="G45">
        <v>161793.46</v>
      </c>
    </row>
    <row r="46" spans="1:11" ht="13.5" customHeight="1" x14ac:dyDescent="0.2">
      <c r="E46" t="s">
        <v>270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G2" sqref="G2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63</v>
      </c>
      <c r="C1" t="s">
        <v>301</v>
      </c>
      <c r="D1" t="s">
        <v>268</v>
      </c>
      <c r="E1" t="s">
        <v>302</v>
      </c>
      <c r="G1" t="s">
        <v>303</v>
      </c>
      <c r="H1" t="s">
        <v>304</v>
      </c>
      <c r="I1" t="s">
        <v>305</v>
      </c>
      <c r="J1" t="s">
        <v>306</v>
      </c>
    </row>
    <row r="2" spans="1:11" x14ac:dyDescent="0.2">
      <c r="A2" s="117" t="s">
        <v>225</v>
      </c>
      <c r="B2" s="117" t="s">
        <v>297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229</v>
      </c>
      <c r="B3" s="117" t="s">
        <v>297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309</v>
      </c>
    </row>
    <row r="4" spans="1:11" x14ac:dyDescent="0.2">
      <c r="A4" s="117" t="s">
        <v>77</v>
      </c>
      <c r="B4" s="117" t="s">
        <v>297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236</v>
      </c>
      <c r="B5" s="117" t="s">
        <v>297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298</v>
      </c>
      <c r="B6" s="117" t="s">
        <v>297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299</v>
      </c>
      <c r="B7" s="117" t="s">
        <v>297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239</v>
      </c>
      <c r="B8" s="117" t="s">
        <v>297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241</v>
      </c>
      <c r="B9" s="117" t="s">
        <v>297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300</v>
      </c>
      <c r="B10" s="117" t="s">
        <v>297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308</v>
      </c>
    </row>
    <row r="11" spans="1:11" x14ac:dyDescent="0.2">
      <c r="A11" s="117" t="s">
        <v>247</v>
      </c>
      <c r="B11" s="117" t="s">
        <v>297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249</v>
      </c>
      <c r="B12" s="117" t="s">
        <v>297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307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269</v>
      </c>
      <c r="H17" s="2">
        <v>129712.55</v>
      </c>
    </row>
    <row r="20" spans="1:9" x14ac:dyDescent="0.2">
      <c r="E20" s="50" t="s">
        <v>355</v>
      </c>
      <c r="F20" s="50" t="s">
        <v>150</v>
      </c>
      <c r="G20" s="50" t="s">
        <v>356</v>
      </c>
      <c r="H20" s="50" t="s">
        <v>209</v>
      </c>
      <c r="I20" s="50" t="s">
        <v>210</v>
      </c>
    </row>
    <row r="21" spans="1:9" x14ac:dyDescent="0.2">
      <c r="A21" s="116" t="s">
        <v>310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351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330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324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337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339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312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344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347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354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348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352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350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353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313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313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349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349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349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323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322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322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323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163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315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316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317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331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332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333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326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341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342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327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345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346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318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334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335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336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343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325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328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338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319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320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321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314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311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340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329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357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C97" workbookViewId="0">
      <selection activeCell="N103" sqref="N103"/>
    </sheetView>
  </sheetViews>
  <sheetFormatPr defaultRowHeight="12.75" x14ac:dyDescent="0.2"/>
  <cols>
    <col min="1" max="2" width="32.42578125" customWidth="1"/>
    <col min="3" max="3" width="19.5703125" customWidth="1"/>
    <col min="4" max="4" width="25.42578125" customWidth="1"/>
    <col min="5" max="5" width="18.28515625" customWidth="1"/>
    <col min="6" max="6" width="12.7109375" bestFit="1" customWidth="1"/>
    <col min="7" max="7" width="12.28515625" bestFit="1" customWidth="1"/>
    <col min="8" max="8" width="10.7109375" bestFit="1" customWidth="1"/>
    <col min="9" max="9" width="10" bestFit="1" customWidth="1"/>
    <col min="10" max="10" width="11" bestFit="1" customWidth="1"/>
    <col min="12" max="12" width="13.42578125" bestFit="1" customWidth="1"/>
    <col min="13" max="13" width="11.85546875" bestFit="1" customWidth="1"/>
  </cols>
  <sheetData>
    <row r="1" spans="1:2" ht="18" x14ac:dyDescent="0.2">
      <c r="A1" s="129" t="s">
        <v>369</v>
      </c>
      <c r="B1" s="193" t="s">
        <v>371</v>
      </c>
    </row>
    <row r="2" spans="1:2" x14ac:dyDescent="0.2">
      <c r="A2" s="128"/>
      <c r="B2" s="193"/>
    </row>
    <row r="3" spans="1:2" ht="18" x14ac:dyDescent="0.2">
      <c r="A3" s="129" t="s">
        <v>370</v>
      </c>
      <c r="B3" s="193"/>
    </row>
    <row r="4" spans="1:2" ht="15" x14ac:dyDescent="0.2">
      <c r="A4" s="130"/>
      <c r="B4" s="193"/>
    </row>
    <row r="5" spans="1:2" ht="15" customHeight="1" x14ac:dyDescent="0.2">
      <c r="A5" s="186" t="s">
        <v>372</v>
      </c>
      <c r="B5" s="186"/>
    </row>
    <row r="6" spans="1:2" ht="15" x14ac:dyDescent="0.2">
      <c r="A6" s="186"/>
      <c r="B6" s="186"/>
    </row>
    <row r="7" spans="1:2" ht="15" x14ac:dyDescent="0.2">
      <c r="A7" s="130" t="s">
        <v>373</v>
      </c>
      <c r="B7" s="130" t="s">
        <v>224</v>
      </c>
    </row>
    <row r="8" spans="1:2" ht="15" x14ac:dyDescent="0.2">
      <c r="A8" s="130" t="s">
        <v>374</v>
      </c>
      <c r="B8" s="130" t="s">
        <v>375</v>
      </c>
    </row>
    <row r="9" spans="1:2" ht="45" customHeight="1" x14ac:dyDescent="0.2">
      <c r="A9" s="186" t="s">
        <v>376</v>
      </c>
      <c r="B9" s="186"/>
    </row>
    <row r="10" spans="1:2" ht="15" customHeight="1" x14ac:dyDescent="0.2">
      <c r="A10" s="186" t="s">
        <v>377</v>
      </c>
      <c r="B10" s="186"/>
    </row>
    <row r="11" spans="1:2" ht="15" customHeight="1" x14ac:dyDescent="0.2">
      <c r="A11" s="186" t="s">
        <v>378</v>
      </c>
      <c r="B11" s="186"/>
    </row>
    <row r="12" spans="1:2" ht="15" customHeight="1" x14ac:dyDescent="0.2">
      <c r="A12" s="186" t="s">
        <v>372</v>
      </c>
      <c r="B12" s="186"/>
    </row>
    <row r="13" spans="1:2" ht="15" x14ac:dyDescent="0.2">
      <c r="A13" s="186"/>
      <c r="B13" s="186"/>
    </row>
    <row r="14" spans="1:2" ht="15" customHeight="1" x14ac:dyDescent="0.2">
      <c r="A14" s="186" t="s">
        <v>379</v>
      </c>
      <c r="B14" s="186"/>
    </row>
    <row r="15" spans="1:2" ht="15" x14ac:dyDescent="0.2">
      <c r="A15" s="186"/>
      <c r="B15" s="186"/>
    </row>
    <row r="16" spans="1:2" ht="30" customHeight="1" x14ac:dyDescent="0.2">
      <c r="A16" s="186" t="s">
        <v>380</v>
      </c>
      <c r="B16" s="186"/>
    </row>
    <row r="17" spans="1:11" ht="30" customHeight="1" x14ac:dyDescent="0.2">
      <c r="A17" s="186" t="s">
        <v>381</v>
      </c>
      <c r="B17" s="186"/>
    </row>
    <row r="18" spans="1:11" ht="15" x14ac:dyDescent="0.35">
      <c r="A18" s="131"/>
    </row>
    <row r="19" spans="1:11" ht="13.5" thickBot="1" x14ac:dyDescent="0.25">
      <c r="A19" s="187" t="s">
        <v>382</v>
      </c>
      <c r="B19" s="188"/>
      <c r="C19" s="188"/>
      <c r="D19" s="188"/>
      <c r="E19" s="188"/>
      <c r="F19" s="188"/>
      <c r="G19" s="188"/>
    </row>
    <row r="20" spans="1:11" ht="15" x14ac:dyDescent="0.2">
      <c r="A20" s="134" t="s">
        <v>215</v>
      </c>
      <c r="B20" s="135" t="s">
        <v>383</v>
      </c>
      <c r="C20" s="136" t="s">
        <v>384</v>
      </c>
      <c r="D20" s="136" t="s">
        <v>385</v>
      </c>
      <c r="E20" s="136" t="s">
        <v>386</v>
      </c>
      <c r="F20" s="136" t="s">
        <v>387</v>
      </c>
      <c r="G20" s="137" t="s">
        <v>220</v>
      </c>
    </row>
    <row r="21" spans="1:11" ht="15.75" thickBot="1" x14ac:dyDescent="0.25">
      <c r="A21" s="138" t="s">
        <v>221</v>
      </c>
      <c r="B21" s="139"/>
      <c r="C21" s="140">
        <v>348.35</v>
      </c>
      <c r="D21" s="141">
        <v>1040.6500000000001</v>
      </c>
      <c r="E21" s="141">
        <v>129712.55</v>
      </c>
      <c r="F21" s="141">
        <v>145281.04</v>
      </c>
      <c r="G21" s="142" t="s">
        <v>224</v>
      </c>
    </row>
    <row r="23" spans="1:11" ht="13.5" thickBot="1" x14ac:dyDescent="0.25">
      <c r="A23" s="187" t="s">
        <v>388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1" ht="15" x14ac:dyDescent="0.2">
      <c r="A24" s="134"/>
      <c r="B24" s="135" t="s">
        <v>215</v>
      </c>
      <c r="C24" s="135"/>
      <c r="D24" s="135"/>
      <c r="E24" s="135"/>
      <c r="F24" s="135"/>
      <c r="G24" s="135"/>
      <c r="H24" s="135"/>
      <c r="I24" s="135"/>
      <c r="J24" s="136" t="s">
        <v>30</v>
      </c>
      <c r="K24" s="137" t="s">
        <v>220</v>
      </c>
    </row>
    <row r="25" spans="1:11" ht="15" customHeight="1" x14ac:dyDescent="0.2">
      <c r="A25" s="146"/>
      <c r="B25" s="192" t="s">
        <v>221</v>
      </c>
      <c r="C25" s="192"/>
      <c r="D25" s="192"/>
      <c r="E25" s="192"/>
      <c r="F25" s="192"/>
      <c r="G25" s="192"/>
      <c r="H25" s="192"/>
      <c r="I25" s="192"/>
      <c r="J25" s="143">
        <v>3836.34</v>
      </c>
      <c r="K25" s="147" t="s">
        <v>224</v>
      </c>
    </row>
    <row r="26" spans="1:11" x14ac:dyDescent="0.2">
      <c r="A26" s="85"/>
      <c r="B26" s="79" t="s">
        <v>389</v>
      </c>
      <c r="C26" s="81" t="s">
        <v>390</v>
      </c>
      <c r="D26" s="132"/>
      <c r="E26" s="81" t="s">
        <v>391</v>
      </c>
      <c r="F26" s="132"/>
      <c r="G26" s="81" t="s">
        <v>30</v>
      </c>
      <c r="H26" s="81" t="s">
        <v>220</v>
      </c>
      <c r="I26" s="144"/>
      <c r="J26" s="144"/>
      <c r="K26" s="148"/>
    </row>
    <row r="27" spans="1:11" x14ac:dyDescent="0.2">
      <c r="A27" s="85"/>
      <c r="B27" s="145" t="s">
        <v>392</v>
      </c>
      <c r="C27" s="79">
        <v>-162.84</v>
      </c>
      <c r="D27" s="132"/>
      <c r="E27" s="81">
        <v>0</v>
      </c>
      <c r="F27" s="132"/>
      <c r="G27" s="79">
        <v>-162.84</v>
      </c>
      <c r="H27" s="81" t="s">
        <v>224</v>
      </c>
      <c r="I27" s="144"/>
      <c r="J27" s="144"/>
      <c r="K27" s="148"/>
    </row>
    <row r="28" spans="1:11" x14ac:dyDescent="0.2">
      <c r="A28" s="85"/>
      <c r="B28" s="145" t="s">
        <v>393</v>
      </c>
      <c r="C28" s="81">
        <v>0</v>
      </c>
      <c r="D28" s="132"/>
      <c r="E28" s="80">
        <v>3997.17</v>
      </c>
      <c r="F28" s="132"/>
      <c r="G28" s="80">
        <v>3997.17</v>
      </c>
      <c r="H28" s="81" t="s">
        <v>224</v>
      </c>
      <c r="I28" s="144"/>
      <c r="J28" s="144"/>
      <c r="K28" s="148"/>
    </row>
    <row r="29" spans="1:11" x14ac:dyDescent="0.2">
      <c r="A29" s="85"/>
      <c r="B29" s="145" t="s">
        <v>394</v>
      </c>
      <c r="C29" s="81">
        <v>0</v>
      </c>
      <c r="D29" s="132"/>
      <c r="E29" s="81">
        <v>2.0099999999999998</v>
      </c>
      <c r="F29" s="132"/>
      <c r="G29" s="81">
        <v>2.0099999999999998</v>
      </c>
      <c r="H29" s="81" t="s">
        <v>224</v>
      </c>
      <c r="I29" s="144"/>
      <c r="J29" s="144"/>
      <c r="K29" s="148"/>
    </row>
    <row r="30" spans="1:11" ht="13.5" thickBot="1" x14ac:dyDescent="0.2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3" spans="1:13" ht="13.5" thickBot="1" x14ac:dyDescent="0.25">
      <c r="A33" s="187" t="s">
        <v>395</v>
      </c>
      <c r="B33" s="188"/>
      <c r="C33" s="188"/>
      <c r="D33" s="188"/>
      <c r="E33" s="188"/>
      <c r="F33" s="188"/>
      <c r="G33" s="188"/>
      <c r="H33" s="188"/>
      <c r="I33" s="188"/>
      <c r="J33" s="188"/>
    </row>
    <row r="34" spans="1:13" ht="15" x14ac:dyDescent="0.2">
      <c r="A34" s="155"/>
      <c r="B34" s="156" t="s">
        <v>215</v>
      </c>
      <c r="C34" s="156" t="s">
        <v>221</v>
      </c>
      <c r="D34" s="157"/>
      <c r="E34" s="157"/>
      <c r="F34" s="157"/>
      <c r="G34" s="157"/>
      <c r="H34" s="157" t="s">
        <v>30</v>
      </c>
      <c r="I34" s="158">
        <v>-3144.04</v>
      </c>
      <c r="J34" s="159" t="s">
        <v>224</v>
      </c>
    </row>
    <row r="35" spans="1:13" ht="15" x14ac:dyDescent="0.2">
      <c r="A35" s="160"/>
      <c r="B35" s="133" t="s">
        <v>222</v>
      </c>
      <c r="C35" s="185"/>
      <c r="D35" s="185"/>
      <c r="E35" s="185"/>
      <c r="F35" s="185"/>
      <c r="G35" s="185"/>
      <c r="H35" s="185"/>
      <c r="I35" s="149">
        <v>-3144.04</v>
      </c>
      <c r="J35" s="161" t="s">
        <v>224</v>
      </c>
    </row>
    <row r="36" spans="1:13" ht="25.5" x14ac:dyDescent="0.2">
      <c r="A36" s="162"/>
      <c r="B36" s="150" t="s">
        <v>217</v>
      </c>
      <c r="C36" s="150" t="s">
        <v>389</v>
      </c>
      <c r="D36" s="151" t="s">
        <v>396</v>
      </c>
      <c r="E36" s="151" t="s">
        <v>397</v>
      </c>
      <c r="F36" s="151" t="s">
        <v>398</v>
      </c>
      <c r="G36" s="151" t="s">
        <v>399</v>
      </c>
      <c r="H36" s="151" t="s">
        <v>364</v>
      </c>
      <c r="I36" s="151" t="s">
        <v>400</v>
      </c>
      <c r="J36" s="163" t="s">
        <v>220</v>
      </c>
    </row>
    <row r="37" spans="1:13" ht="25.5" x14ac:dyDescent="0.2">
      <c r="A37" s="87"/>
      <c r="B37" s="82" t="s">
        <v>401</v>
      </c>
      <c r="C37" s="82" t="s">
        <v>402</v>
      </c>
      <c r="D37" s="84">
        <v>0</v>
      </c>
      <c r="E37" s="83">
        <v>2445473</v>
      </c>
      <c r="F37" s="84">
        <v>0</v>
      </c>
      <c r="G37" s="153">
        <v>-2446291</v>
      </c>
      <c r="H37" s="82">
        <v>-818</v>
      </c>
      <c r="I37" s="84">
        <v>0</v>
      </c>
      <c r="J37" s="88" t="s">
        <v>224</v>
      </c>
    </row>
    <row r="38" spans="1:13" x14ac:dyDescent="0.2">
      <c r="A38" s="85"/>
      <c r="B38" s="79" t="s">
        <v>403</v>
      </c>
      <c r="C38" s="79" t="s">
        <v>404</v>
      </c>
      <c r="D38" s="79">
        <v>-8</v>
      </c>
      <c r="E38" s="80">
        <v>1058</v>
      </c>
      <c r="F38" s="81">
        <v>0</v>
      </c>
      <c r="G38" s="81">
        <v>0</v>
      </c>
      <c r="H38" s="80">
        <v>1058</v>
      </c>
      <c r="I38" s="79">
        <v>-8</v>
      </c>
      <c r="J38" s="86" t="s">
        <v>224</v>
      </c>
    </row>
    <row r="39" spans="1:13" x14ac:dyDescent="0.2">
      <c r="A39" s="85"/>
      <c r="B39" s="132"/>
      <c r="C39" s="79" t="s">
        <v>402</v>
      </c>
      <c r="D39" s="154">
        <v>-5000.1099999999997</v>
      </c>
      <c r="E39" s="80">
        <v>1058</v>
      </c>
      <c r="F39" s="81">
        <v>0</v>
      </c>
      <c r="G39" s="81">
        <v>0</v>
      </c>
      <c r="H39" s="80">
        <v>1058</v>
      </c>
      <c r="I39" s="154">
        <v>-5000.1099999999997</v>
      </c>
      <c r="J39" s="86" t="s">
        <v>224</v>
      </c>
    </row>
    <row r="40" spans="1:13" x14ac:dyDescent="0.2">
      <c r="A40" s="85"/>
      <c r="B40" s="132"/>
      <c r="C40" s="79" t="s">
        <v>405</v>
      </c>
      <c r="D40" s="79">
        <v>-25</v>
      </c>
      <c r="E40" s="80">
        <v>1058</v>
      </c>
      <c r="F40" s="81">
        <v>0</v>
      </c>
      <c r="G40" s="81">
        <v>0</v>
      </c>
      <c r="H40" s="80">
        <v>1058</v>
      </c>
      <c r="I40" s="79">
        <v>-25</v>
      </c>
      <c r="J40" s="86" t="s">
        <v>224</v>
      </c>
      <c r="L40" s="50" t="s">
        <v>210</v>
      </c>
      <c r="M40" s="70">
        <f>+M41-I35</f>
        <v>55227.780000000006</v>
      </c>
    </row>
    <row r="41" spans="1:13" x14ac:dyDescent="0.2">
      <c r="A41" s="87"/>
      <c r="B41" s="82" t="s">
        <v>406</v>
      </c>
      <c r="C41" s="82" t="s">
        <v>402</v>
      </c>
      <c r="D41" s="84">
        <v>0</v>
      </c>
      <c r="E41" s="83">
        <v>2446291</v>
      </c>
      <c r="F41" s="84">
        <v>0</v>
      </c>
      <c r="G41" s="153">
        <v>-2445473</v>
      </c>
      <c r="H41" s="84">
        <v>818</v>
      </c>
      <c r="I41" s="84">
        <v>0</v>
      </c>
      <c r="J41" s="88" t="s">
        <v>224</v>
      </c>
      <c r="L41" s="50" t="s">
        <v>417</v>
      </c>
      <c r="M41" s="70">
        <f>+F42+F43+F44+F45+F46+F50+F51</f>
        <v>52083.740000000005</v>
      </c>
    </row>
    <row r="42" spans="1:13" x14ac:dyDescent="0.2">
      <c r="A42" s="85"/>
      <c r="B42" s="79" t="s">
        <v>225</v>
      </c>
      <c r="C42" s="79" t="s">
        <v>404</v>
      </c>
      <c r="D42" s="79">
        <v>-16.61</v>
      </c>
      <c r="E42" s="80">
        <v>11277</v>
      </c>
      <c r="F42" s="79">
        <v>-37.590000000000003</v>
      </c>
      <c r="G42" s="154">
        <v>-22554</v>
      </c>
      <c r="H42" s="154">
        <v>-11277</v>
      </c>
      <c r="I42" s="79">
        <v>-54.2</v>
      </c>
      <c r="J42" s="86" t="s">
        <v>224</v>
      </c>
    </row>
    <row r="43" spans="1:13" x14ac:dyDescent="0.2">
      <c r="A43" s="85"/>
      <c r="B43" s="132"/>
      <c r="C43" s="79" t="s">
        <v>402</v>
      </c>
      <c r="D43" s="154">
        <v>-16612.16</v>
      </c>
      <c r="E43" s="80">
        <v>11277</v>
      </c>
      <c r="F43" s="80">
        <v>37586.239999999998</v>
      </c>
      <c r="G43" s="154">
        <v>-22554</v>
      </c>
      <c r="H43" s="154">
        <v>-11277</v>
      </c>
      <c r="I43" s="80">
        <v>20974.080000000002</v>
      </c>
      <c r="J43" s="86" t="s">
        <v>224</v>
      </c>
    </row>
    <row r="44" spans="1:13" x14ac:dyDescent="0.2">
      <c r="A44" s="85"/>
      <c r="B44" s="132"/>
      <c r="C44" s="79" t="s">
        <v>407</v>
      </c>
      <c r="D44" s="79">
        <v>-1</v>
      </c>
      <c r="E44" s="80">
        <v>11277</v>
      </c>
      <c r="F44" s="79">
        <v>-2</v>
      </c>
      <c r="G44" s="154">
        <v>-22554</v>
      </c>
      <c r="H44" s="154">
        <v>-11277</v>
      </c>
      <c r="I44" s="79">
        <v>-3</v>
      </c>
      <c r="J44" s="86" t="s">
        <v>224</v>
      </c>
    </row>
    <row r="45" spans="1:13" x14ac:dyDescent="0.2">
      <c r="A45" s="87"/>
      <c r="B45" s="82" t="s">
        <v>408</v>
      </c>
      <c r="C45" s="82" t="s">
        <v>404</v>
      </c>
      <c r="D45" s="82">
        <v>-8</v>
      </c>
      <c r="E45" s="83">
        <v>1772</v>
      </c>
      <c r="F45" s="82">
        <v>-8</v>
      </c>
      <c r="G45" s="153">
        <v>-1772</v>
      </c>
      <c r="H45" s="84">
        <v>0</v>
      </c>
      <c r="I45" s="82">
        <v>-16</v>
      </c>
      <c r="J45" s="88" t="s">
        <v>224</v>
      </c>
    </row>
    <row r="46" spans="1:13" x14ac:dyDescent="0.2">
      <c r="A46" s="87"/>
      <c r="B46" s="152"/>
      <c r="C46" s="82" t="s">
        <v>402</v>
      </c>
      <c r="D46" s="153">
        <v>-4979.32</v>
      </c>
      <c r="E46" s="83">
        <v>1772</v>
      </c>
      <c r="F46" s="83">
        <v>5136.1400000000003</v>
      </c>
      <c r="G46" s="153">
        <v>-1772</v>
      </c>
      <c r="H46" s="84">
        <v>0</v>
      </c>
      <c r="I46" s="84">
        <v>156.82</v>
      </c>
      <c r="J46" s="88" t="s">
        <v>224</v>
      </c>
    </row>
    <row r="47" spans="1:13" x14ac:dyDescent="0.2">
      <c r="A47" s="85"/>
      <c r="B47" s="79" t="s">
        <v>236</v>
      </c>
      <c r="C47" s="79" t="s">
        <v>404</v>
      </c>
      <c r="D47" s="79">
        <v>-16.600000000000001</v>
      </c>
      <c r="E47" s="80">
        <v>7120</v>
      </c>
      <c r="F47" s="81">
        <v>0</v>
      </c>
      <c r="G47" s="81">
        <v>0</v>
      </c>
      <c r="H47" s="80">
        <v>7120</v>
      </c>
      <c r="I47" s="79">
        <v>-16.600000000000001</v>
      </c>
      <c r="J47" s="86" t="s">
        <v>224</v>
      </c>
    </row>
    <row r="48" spans="1:13" x14ac:dyDescent="0.2">
      <c r="A48" s="85"/>
      <c r="B48" s="132"/>
      <c r="C48" s="79" t="s">
        <v>402</v>
      </c>
      <c r="D48" s="154">
        <v>-13590.92</v>
      </c>
      <c r="E48" s="80">
        <v>7120</v>
      </c>
      <c r="F48" s="81">
        <v>0</v>
      </c>
      <c r="G48" s="81">
        <v>0</v>
      </c>
      <c r="H48" s="80">
        <v>7120</v>
      </c>
      <c r="I48" s="154">
        <v>-13590.92</v>
      </c>
      <c r="J48" s="86" t="s">
        <v>224</v>
      </c>
    </row>
    <row r="49" spans="1:10" x14ac:dyDescent="0.2">
      <c r="A49" s="85"/>
      <c r="B49" s="132"/>
      <c r="C49" s="79" t="s">
        <v>405</v>
      </c>
      <c r="D49" s="79">
        <v>-67.959999999999994</v>
      </c>
      <c r="E49" s="80">
        <v>7120</v>
      </c>
      <c r="F49" s="81">
        <v>0</v>
      </c>
      <c r="G49" s="81">
        <v>0</v>
      </c>
      <c r="H49" s="80">
        <v>7120</v>
      </c>
      <c r="I49" s="79">
        <v>-67.959999999999994</v>
      </c>
      <c r="J49" s="86" t="s">
        <v>224</v>
      </c>
    </row>
    <row r="50" spans="1:10" x14ac:dyDescent="0.2">
      <c r="A50" s="87"/>
      <c r="B50" s="82" t="s">
        <v>298</v>
      </c>
      <c r="C50" s="82" t="s">
        <v>404</v>
      </c>
      <c r="D50" s="82">
        <v>-8.8000000000000007</v>
      </c>
      <c r="E50" s="83">
        <v>20000</v>
      </c>
      <c r="F50" s="82">
        <v>-9.42</v>
      </c>
      <c r="G50" s="153">
        <v>-20000</v>
      </c>
      <c r="H50" s="84">
        <v>0</v>
      </c>
      <c r="I50" s="82">
        <v>-18.22</v>
      </c>
      <c r="J50" s="88" t="s">
        <v>224</v>
      </c>
    </row>
    <row r="51" spans="1:10" x14ac:dyDescent="0.2">
      <c r="A51" s="87"/>
      <c r="B51" s="152"/>
      <c r="C51" s="82" t="s">
        <v>402</v>
      </c>
      <c r="D51" s="153">
        <v>-8800</v>
      </c>
      <c r="E51" s="83">
        <v>20000</v>
      </c>
      <c r="F51" s="83">
        <v>9418.3700000000008</v>
      </c>
      <c r="G51" s="153">
        <v>-20000</v>
      </c>
      <c r="H51" s="84">
        <v>0</v>
      </c>
      <c r="I51" s="84">
        <v>618.37</v>
      </c>
      <c r="J51" s="88" t="s">
        <v>224</v>
      </c>
    </row>
    <row r="52" spans="1:10" x14ac:dyDescent="0.2">
      <c r="A52" s="87"/>
      <c r="B52" s="152"/>
      <c r="C52" s="82" t="s">
        <v>405</v>
      </c>
      <c r="D52" s="82">
        <v>-44</v>
      </c>
      <c r="E52" s="83">
        <v>20000</v>
      </c>
      <c r="F52" s="84">
        <v>0</v>
      </c>
      <c r="G52" s="84">
        <v>0</v>
      </c>
      <c r="H52" s="83">
        <v>20000</v>
      </c>
      <c r="I52" s="82">
        <v>-44</v>
      </c>
      <c r="J52" s="88" t="s">
        <v>224</v>
      </c>
    </row>
    <row r="53" spans="1:10" x14ac:dyDescent="0.2">
      <c r="A53" s="85"/>
      <c r="B53" s="79" t="s">
        <v>243</v>
      </c>
      <c r="C53" s="79" t="s">
        <v>404</v>
      </c>
      <c r="D53" s="79">
        <v>-8</v>
      </c>
      <c r="E53" s="80">
        <v>2304</v>
      </c>
      <c r="F53" s="81">
        <v>0</v>
      </c>
      <c r="G53" s="81">
        <v>0</v>
      </c>
      <c r="H53" s="80">
        <v>2304</v>
      </c>
      <c r="I53" s="79">
        <v>-8</v>
      </c>
      <c r="J53" s="86" t="s">
        <v>224</v>
      </c>
    </row>
    <row r="54" spans="1:10" x14ac:dyDescent="0.2">
      <c r="A54" s="85"/>
      <c r="B54" s="132"/>
      <c r="C54" s="79" t="s">
        <v>402</v>
      </c>
      <c r="D54" s="154">
        <v>-4999.68</v>
      </c>
      <c r="E54" s="80">
        <v>2304</v>
      </c>
      <c r="F54" s="81">
        <v>0</v>
      </c>
      <c r="G54" s="81">
        <v>0</v>
      </c>
      <c r="H54" s="80">
        <v>2304</v>
      </c>
      <c r="I54" s="154">
        <v>-4999.68</v>
      </c>
      <c r="J54" s="86" t="s">
        <v>224</v>
      </c>
    </row>
    <row r="55" spans="1:10" x14ac:dyDescent="0.2">
      <c r="A55" s="85"/>
      <c r="B55" s="132"/>
      <c r="C55" s="79" t="s">
        <v>405</v>
      </c>
      <c r="D55" s="79">
        <v>-25</v>
      </c>
      <c r="E55" s="80">
        <v>2304</v>
      </c>
      <c r="F55" s="81">
        <v>0</v>
      </c>
      <c r="G55" s="81">
        <v>0</v>
      </c>
      <c r="H55" s="80">
        <v>2304</v>
      </c>
      <c r="I55" s="79">
        <v>-25</v>
      </c>
      <c r="J55" s="86" t="s">
        <v>224</v>
      </c>
    </row>
    <row r="56" spans="1:10" x14ac:dyDescent="0.2">
      <c r="A56" s="87"/>
      <c r="B56" s="82" t="s">
        <v>300</v>
      </c>
      <c r="C56" s="82" t="s">
        <v>404</v>
      </c>
      <c r="D56" s="82">
        <v>-8</v>
      </c>
      <c r="E56" s="84">
        <v>531</v>
      </c>
      <c r="F56" s="84">
        <v>0</v>
      </c>
      <c r="G56" s="84">
        <v>0</v>
      </c>
      <c r="H56" s="84">
        <v>531</v>
      </c>
      <c r="I56" s="82">
        <v>-8</v>
      </c>
      <c r="J56" s="88" t="s">
        <v>224</v>
      </c>
    </row>
    <row r="57" spans="1:10" ht="13.5" thickBot="1" x14ac:dyDescent="0.25">
      <c r="A57" s="89"/>
      <c r="B57" s="164"/>
      <c r="C57" s="90" t="s">
        <v>402</v>
      </c>
      <c r="D57" s="165">
        <v>-1008.62</v>
      </c>
      <c r="E57" s="166">
        <v>531</v>
      </c>
      <c r="F57" s="166">
        <v>0</v>
      </c>
      <c r="G57" s="166">
        <v>0</v>
      </c>
      <c r="H57" s="166">
        <v>531</v>
      </c>
      <c r="I57" s="165">
        <v>-1008.62</v>
      </c>
      <c r="J57" s="167" t="s">
        <v>224</v>
      </c>
    </row>
    <row r="58" spans="1:10" x14ac:dyDescent="0.2">
      <c r="A58" s="87"/>
      <c r="B58" s="98"/>
      <c r="C58" s="99"/>
      <c r="D58" s="172"/>
      <c r="E58" s="173"/>
      <c r="F58" s="173"/>
      <c r="G58" s="173"/>
      <c r="H58" s="173"/>
      <c r="I58" s="172"/>
      <c r="J58" s="173"/>
    </row>
    <row r="59" spans="1:10" x14ac:dyDescent="0.2">
      <c r="A59" s="87"/>
      <c r="B59" s="98"/>
      <c r="C59" s="99"/>
      <c r="D59" s="172"/>
      <c r="E59" s="173"/>
      <c r="F59" s="173"/>
      <c r="G59" s="173"/>
      <c r="H59" s="173"/>
      <c r="I59" s="172"/>
      <c r="J59" s="173"/>
    </row>
    <row r="60" spans="1:10" x14ac:dyDescent="0.2">
      <c r="A60" s="174" t="s">
        <v>416</v>
      </c>
      <c r="B60" s="98"/>
      <c r="C60" s="99"/>
      <c r="D60" s="172"/>
      <c r="E60" s="173"/>
      <c r="F60" s="173"/>
      <c r="G60" s="173"/>
      <c r="H60" s="173"/>
      <c r="I60" s="172"/>
      <c r="J60" s="173"/>
    </row>
    <row r="61" spans="1:10" x14ac:dyDescent="0.2">
      <c r="A61" s="87"/>
      <c r="B61" s="98"/>
      <c r="C61" s="99"/>
      <c r="D61" s="172"/>
      <c r="E61" s="173"/>
      <c r="F61" s="173"/>
      <c r="G61" s="173"/>
      <c r="H61" s="173"/>
      <c r="I61" s="172"/>
      <c r="J61" s="173"/>
    </row>
    <row r="62" spans="1:10" x14ac:dyDescent="0.2">
      <c r="A62" s="87"/>
      <c r="B62" s="82" t="s">
        <v>221</v>
      </c>
      <c r="C62" s="82" t="s">
        <v>222</v>
      </c>
      <c r="D62" s="82" t="s">
        <v>403</v>
      </c>
      <c r="E62" s="82" t="s">
        <v>411</v>
      </c>
      <c r="F62" s="83">
        <v>1058</v>
      </c>
      <c r="G62" s="83">
        <v>5803.13</v>
      </c>
      <c r="H62" s="88" t="s">
        <v>224</v>
      </c>
    </row>
    <row r="63" spans="1:10" x14ac:dyDescent="0.2">
      <c r="A63" s="85"/>
      <c r="B63" s="79" t="s">
        <v>221</v>
      </c>
      <c r="C63" s="79" t="s">
        <v>222</v>
      </c>
      <c r="D63" s="79" t="s">
        <v>406</v>
      </c>
      <c r="E63" s="79" t="s">
        <v>412</v>
      </c>
      <c r="F63" s="81">
        <v>818</v>
      </c>
      <c r="G63" s="81">
        <v>77.709999999999994</v>
      </c>
      <c r="H63" s="86" t="s">
        <v>224</v>
      </c>
    </row>
    <row r="64" spans="1:10" x14ac:dyDescent="0.2">
      <c r="A64" s="87"/>
      <c r="B64" s="82" t="s">
        <v>221</v>
      </c>
      <c r="C64" s="82" t="s">
        <v>222</v>
      </c>
      <c r="D64" s="82" t="s">
        <v>225</v>
      </c>
      <c r="E64" s="82" t="s">
        <v>226</v>
      </c>
      <c r="F64" s="83">
        <v>11277</v>
      </c>
      <c r="G64" s="83">
        <v>20118.169999999998</v>
      </c>
      <c r="H64" s="88" t="s">
        <v>224</v>
      </c>
    </row>
    <row r="65" spans="1:8" x14ac:dyDescent="0.2">
      <c r="A65" s="85"/>
      <c r="B65" s="79" t="s">
        <v>221</v>
      </c>
      <c r="C65" s="79" t="s">
        <v>222</v>
      </c>
      <c r="D65" s="79" t="s">
        <v>225</v>
      </c>
      <c r="E65" s="79" t="s">
        <v>226</v>
      </c>
      <c r="F65" s="80">
        <v>10000</v>
      </c>
      <c r="G65" s="80">
        <v>17840</v>
      </c>
      <c r="H65" s="86" t="s">
        <v>224</v>
      </c>
    </row>
    <row r="66" spans="1:8" x14ac:dyDescent="0.2">
      <c r="A66" s="87"/>
      <c r="B66" s="82" t="s">
        <v>221</v>
      </c>
      <c r="C66" s="82" t="s">
        <v>222</v>
      </c>
      <c r="D66" s="82" t="s">
        <v>225</v>
      </c>
      <c r="E66" s="82" t="s">
        <v>226</v>
      </c>
      <c r="F66" s="83">
        <v>1277</v>
      </c>
      <c r="G66" s="83">
        <v>2278.17</v>
      </c>
      <c r="H66" s="88" t="s">
        <v>224</v>
      </c>
    </row>
    <row r="67" spans="1:8" ht="25.5" x14ac:dyDescent="0.2">
      <c r="A67" s="85"/>
      <c r="B67" s="79" t="s">
        <v>221</v>
      </c>
      <c r="C67" s="79" t="s">
        <v>222</v>
      </c>
      <c r="D67" s="79" t="s">
        <v>229</v>
      </c>
      <c r="E67" s="79" t="s">
        <v>413</v>
      </c>
      <c r="F67" s="80">
        <v>5411</v>
      </c>
      <c r="G67" s="81">
        <v>730.48</v>
      </c>
      <c r="H67" s="86" t="s">
        <v>224</v>
      </c>
    </row>
    <row r="68" spans="1:8" x14ac:dyDescent="0.2">
      <c r="A68" s="87"/>
      <c r="B68" s="82" t="s">
        <v>221</v>
      </c>
      <c r="C68" s="82" t="s">
        <v>222</v>
      </c>
      <c r="D68" s="82" t="s">
        <v>236</v>
      </c>
      <c r="E68" s="82" t="s">
        <v>237</v>
      </c>
      <c r="F68" s="83">
        <v>5464</v>
      </c>
      <c r="G68" s="83">
        <v>10381.6</v>
      </c>
      <c r="H68" s="88" t="s">
        <v>224</v>
      </c>
    </row>
    <row r="69" spans="1:8" x14ac:dyDescent="0.2">
      <c r="A69" s="85"/>
      <c r="B69" s="79" t="s">
        <v>221</v>
      </c>
      <c r="C69" s="79" t="s">
        <v>222</v>
      </c>
      <c r="D69" s="79" t="s">
        <v>236</v>
      </c>
      <c r="E69" s="79" t="s">
        <v>237</v>
      </c>
      <c r="F69" s="80">
        <v>4589</v>
      </c>
      <c r="G69" s="80">
        <v>8719.1</v>
      </c>
      <c r="H69" s="86" t="s">
        <v>224</v>
      </c>
    </row>
    <row r="70" spans="1:8" x14ac:dyDescent="0.2">
      <c r="A70" s="87"/>
      <c r="B70" s="82" t="s">
        <v>221</v>
      </c>
      <c r="C70" s="82" t="s">
        <v>222</v>
      </c>
      <c r="D70" s="82" t="s">
        <v>236</v>
      </c>
      <c r="E70" s="82" t="s">
        <v>237</v>
      </c>
      <c r="F70" s="83">
        <v>2531</v>
      </c>
      <c r="G70" s="83">
        <v>4808.8999999999996</v>
      </c>
      <c r="H70" s="88" t="s">
        <v>224</v>
      </c>
    </row>
    <row r="71" spans="1:8" x14ac:dyDescent="0.2">
      <c r="A71" s="85"/>
      <c r="B71" s="79" t="s">
        <v>221</v>
      </c>
      <c r="C71" s="79" t="s">
        <v>222</v>
      </c>
      <c r="D71" s="79" t="s">
        <v>298</v>
      </c>
      <c r="E71" s="79" t="s">
        <v>414</v>
      </c>
      <c r="F71" s="80">
        <v>20000</v>
      </c>
      <c r="G71" s="80">
        <v>9100</v>
      </c>
      <c r="H71" s="86" t="s">
        <v>224</v>
      </c>
    </row>
    <row r="72" spans="1:8" x14ac:dyDescent="0.2">
      <c r="A72" s="87"/>
      <c r="B72" s="82" t="s">
        <v>221</v>
      </c>
      <c r="C72" s="82" t="s">
        <v>222</v>
      </c>
      <c r="D72" s="82" t="s">
        <v>239</v>
      </c>
      <c r="E72" s="82" t="s">
        <v>240</v>
      </c>
      <c r="F72" s="83">
        <v>1887945</v>
      </c>
      <c r="G72" s="83">
        <v>10194.9</v>
      </c>
      <c r="H72" s="88" t="s">
        <v>224</v>
      </c>
    </row>
    <row r="73" spans="1:8" x14ac:dyDescent="0.2">
      <c r="A73" s="85"/>
      <c r="B73" s="79" t="s">
        <v>221</v>
      </c>
      <c r="C73" s="79" t="s">
        <v>222</v>
      </c>
      <c r="D73" s="79" t="s">
        <v>241</v>
      </c>
      <c r="E73" s="79" t="s">
        <v>242</v>
      </c>
      <c r="F73" s="80">
        <v>2000</v>
      </c>
      <c r="G73" s="80">
        <v>3685</v>
      </c>
      <c r="H73" s="86" t="s">
        <v>224</v>
      </c>
    </row>
    <row r="74" spans="1:8" x14ac:dyDescent="0.2">
      <c r="A74" s="87"/>
      <c r="B74" s="82" t="s">
        <v>221</v>
      </c>
      <c r="C74" s="82" t="s">
        <v>222</v>
      </c>
      <c r="D74" s="82" t="s">
        <v>241</v>
      </c>
      <c r="E74" s="82" t="s">
        <v>242</v>
      </c>
      <c r="F74" s="83">
        <v>2000</v>
      </c>
      <c r="G74" s="83">
        <v>3685</v>
      </c>
      <c r="H74" s="88" t="s">
        <v>224</v>
      </c>
    </row>
    <row r="75" spans="1:8" x14ac:dyDescent="0.2">
      <c r="A75" s="85"/>
      <c r="B75" s="79" t="s">
        <v>221</v>
      </c>
      <c r="C75" s="79" t="s">
        <v>222</v>
      </c>
      <c r="D75" s="79" t="s">
        <v>241</v>
      </c>
      <c r="E75" s="79" t="s">
        <v>242</v>
      </c>
      <c r="F75" s="80">
        <v>2000</v>
      </c>
      <c r="G75" s="80">
        <v>3685</v>
      </c>
      <c r="H75" s="86" t="s">
        <v>224</v>
      </c>
    </row>
    <row r="76" spans="1:8" x14ac:dyDescent="0.2">
      <c r="A76" s="87"/>
      <c r="B76" s="82" t="s">
        <v>221</v>
      </c>
      <c r="C76" s="82" t="s">
        <v>222</v>
      </c>
      <c r="D76" s="82" t="s">
        <v>241</v>
      </c>
      <c r="E76" s="82" t="s">
        <v>242</v>
      </c>
      <c r="F76" s="83">
        <v>9111</v>
      </c>
      <c r="G76" s="83">
        <v>16787.02</v>
      </c>
      <c r="H76" s="88" t="s">
        <v>224</v>
      </c>
    </row>
    <row r="77" spans="1:8" x14ac:dyDescent="0.2">
      <c r="A77" s="85"/>
      <c r="B77" s="79" t="s">
        <v>221</v>
      </c>
      <c r="C77" s="79" t="s">
        <v>222</v>
      </c>
      <c r="D77" s="79" t="s">
        <v>243</v>
      </c>
      <c r="E77" s="79" t="s">
        <v>244</v>
      </c>
      <c r="F77" s="80">
        <v>2304</v>
      </c>
      <c r="G77" s="80">
        <v>4758.91</v>
      </c>
      <c r="H77" s="86" t="s">
        <v>224</v>
      </c>
    </row>
    <row r="78" spans="1:8" x14ac:dyDescent="0.2">
      <c r="A78" s="87"/>
      <c r="B78" s="82" t="s">
        <v>221</v>
      </c>
      <c r="C78" s="82" t="s">
        <v>222</v>
      </c>
      <c r="D78" s="82" t="s">
        <v>300</v>
      </c>
      <c r="E78" s="82" t="s">
        <v>415</v>
      </c>
      <c r="F78" s="84">
        <v>531</v>
      </c>
      <c r="G78" s="84">
        <v>844.29</v>
      </c>
      <c r="H78" s="88" t="s">
        <v>224</v>
      </c>
    </row>
    <row r="79" spans="1:8" x14ac:dyDescent="0.2">
      <c r="A79" s="85"/>
      <c r="B79" s="79" t="s">
        <v>221</v>
      </c>
      <c r="C79" s="79" t="s">
        <v>222</v>
      </c>
      <c r="D79" s="79" t="s">
        <v>300</v>
      </c>
      <c r="E79" s="79" t="s">
        <v>415</v>
      </c>
      <c r="F79" s="81">
        <v>531</v>
      </c>
      <c r="G79" s="81">
        <v>844.29</v>
      </c>
      <c r="H79" s="86" t="s">
        <v>224</v>
      </c>
    </row>
    <row r="80" spans="1:8" ht="13.5" thickBot="1" x14ac:dyDescent="0.25">
      <c r="A80" s="89"/>
      <c r="B80" s="90" t="s">
        <v>221</v>
      </c>
      <c r="C80" s="90" t="s">
        <v>222</v>
      </c>
      <c r="D80" s="90" t="s">
        <v>249</v>
      </c>
      <c r="E80" s="90" t="s">
        <v>250</v>
      </c>
      <c r="F80" s="91">
        <v>11537280</v>
      </c>
      <c r="G80" s="91">
        <v>2019.02</v>
      </c>
      <c r="H80" s="167" t="s">
        <v>224</v>
      </c>
    </row>
    <row r="82" spans="1:8" ht="13.5" thickBot="1" x14ac:dyDescent="0.25">
      <c r="G82" s="72">
        <f>SUM(G62:G81)</f>
        <v>126360.68999999999</v>
      </c>
    </row>
    <row r="83" spans="1:8" ht="13.5" thickTop="1" x14ac:dyDescent="0.2"/>
    <row r="84" spans="1:8" x14ac:dyDescent="0.2">
      <c r="A84" s="170"/>
      <c r="B84" s="168" t="s">
        <v>215</v>
      </c>
      <c r="C84" s="168" t="s">
        <v>216</v>
      </c>
      <c r="D84" s="168" t="s">
        <v>217</v>
      </c>
      <c r="E84" s="168" t="s">
        <v>218</v>
      </c>
      <c r="F84" s="169" t="s">
        <v>219</v>
      </c>
      <c r="G84" s="169" t="s">
        <v>409</v>
      </c>
      <c r="H84" s="171" t="s">
        <v>220</v>
      </c>
    </row>
    <row r="85" spans="1:8" ht="25.5" x14ac:dyDescent="0.2">
      <c r="A85" s="85"/>
      <c r="B85" s="79" t="s">
        <v>221</v>
      </c>
      <c r="C85" s="79" t="s">
        <v>222</v>
      </c>
      <c r="D85" s="79" t="s">
        <v>299</v>
      </c>
      <c r="E85" s="79" t="s">
        <v>238</v>
      </c>
      <c r="F85" s="80">
        <v>122508</v>
      </c>
      <c r="G85" s="80">
        <v>4777.8100000000004</v>
      </c>
      <c r="H85" s="86" t="s">
        <v>224</v>
      </c>
    </row>
    <row r="86" spans="1:8" ht="25.5" x14ac:dyDescent="0.2">
      <c r="A86" s="87"/>
      <c r="B86" s="82" t="s">
        <v>221</v>
      </c>
      <c r="C86" s="82" t="s">
        <v>222</v>
      </c>
      <c r="D86" s="82" t="s">
        <v>299</v>
      </c>
      <c r="E86" s="82" t="s">
        <v>238</v>
      </c>
      <c r="F86" s="83">
        <v>122508</v>
      </c>
      <c r="G86" s="83">
        <v>4777.8100000000004</v>
      </c>
      <c r="H86" s="88" t="s">
        <v>224</v>
      </c>
    </row>
    <row r="87" spans="1:8" ht="25.5" x14ac:dyDescent="0.2">
      <c r="A87" s="85"/>
      <c r="B87" s="79" t="s">
        <v>221</v>
      </c>
      <c r="C87" s="79" t="s">
        <v>222</v>
      </c>
      <c r="D87" s="79" t="s">
        <v>299</v>
      </c>
      <c r="E87" s="79" t="s">
        <v>238</v>
      </c>
      <c r="F87" s="80">
        <v>35305</v>
      </c>
      <c r="G87" s="80">
        <v>1376.9</v>
      </c>
      <c r="H87" s="86" t="s">
        <v>224</v>
      </c>
    </row>
    <row r="88" spans="1:8" ht="25.5" x14ac:dyDescent="0.2">
      <c r="A88" s="87"/>
      <c r="B88" s="82" t="s">
        <v>221</v>
      </c>
      <c r="C88" s="82" t="s">
        <v>222</v>
      </c>
      <c r="D88" s="82" t="s">
        <v>299</v>
      </c>
      <c r="E88" s="82" t="s">
        <v>238</v>
      </c>
      <c r="F88" s="83">
        <v>64695</v>
      </c>
      <c r="G88" s="83">
        <v>2523.1</v>
      </c>
      <c r="H88" s="88" t="s">
        <v>224</v>
      </c>
    </row>
    <row r="89" spans="1:8" ht="25.5" x14ac:dyDescent="0.2">
      <c r="A89" s="85"/>
      <c r="B89" s="79" t="s">
        <v>221</v>
      </c>
      <c r="C89" s="79" t="s">
        <v>222</v>
      </c>
      <c r="D89" s="79" t="s">
        <v>299</v>
      </c>
      <c r="E89" s="79" t="s">
        <v>238</v>
      </c>
      <c r="F89" s="80">
        <v>100000</v>
      </c>
      <c r="G89" s="80">
        <v>3900</v>
      </c>
      <c r="H89" s="86" t="s">
        <v>224</v>
      </c>
    </row>
    <row r="90" spans="1:8" ht="25.5" x14ac:dyDescent="0.2">
      <c r="A90" s="87"/>
      <c r="B90" s="82" t="s">
        <v>221</v>
      </c>
      <c r="C90" s="82" t="s">
        <v>222</v>
      </c>
      <c r="D90" s="82" t="s">
        <v>410</v>
      </c>
      <c r="E90" s="82" t="s">
        <v>248</v>
      </c>
      <c r="F90" s="83">
        <v>6000</v>
      </c>
      <c r="G90" s="84">
        <v>94.5</v>
      </c>
      <c r="H90" s="88" t="s">
        <v>224</v>
      </c>
    </row>
    <row r="91" spans="1:8" ht="25.5" x14ac:dyDescent="0.2">
      <c r="A91" s="85"/>
      <c r="B91" s="79" t="s">
        <v>221</v>
      </c>
      <c r="C91" s="79" t="s">
        <v>222</v>
      </c>
      <c r="D91" s="79" t="s">
        <v>410</v>
      </c>
      <c r="E91" s="79" t="s">
        <v>248</v>
      </c>
      <c r="F91" s="80">
        <v>27275</v>
      </c>
      <c r="G91" s="81">
        <v>429.58</v>
      </c>
      <c r="H91" s="86" t="s">
        <v>224</v>
      </c>
    </row>
    <row r="93" spans="1:8" ht="13.5" thickBot="1" x14ac:dyDescent="0.25">
      <c r="G93" s="72">
        <f>SUM(G85:G92)</f>
        <v>17879.700000000004</v>
      </c>
    </row>
    <row r="94" spans="1:8" ht="13.5" thickTop="1" x14ac:dyDescent="0.2"/>
    <row r="97" spans="1:14" ht="15" x14ac:dyDescent="0.25">
      <c r="A97" s="175" t="s">
        <v>215</v>
      </c>
      <c r="B97" s="175" t="s">
        <v>418</v>
      </c>
      <c r="C97" s="175" t="s">
        <v>217</v>
      </c>
      <c r="D97" s="175" t="s">
        <v>419</v>
      </c>
      <c r="E97" s="175" t="s">
        <v>219</v>
      </c>
      <c r="F97" s="175" t="s">
        <v>420</v>
      </c>
      <c r="G97" s="175" t="s">
        <v>421</v>
      </c>
      <c r="H97" s="175" t="s">
        <v>422</v>
      </c>
      <c r="I97" s="175" t="s">
        <v>423</v>
      </c>
      <c r="J97" s="175" t="s">
        <v>424</v>
      </c>
      <c r="K97" s="175" t="s">
        <v>425</v>
      </c>
    </row>
    <row r="98" spans="1:14" x14ac:dyDescent="0.2">
      <c r="A98" s="176" t="s">
        <v>221</v>
      </c>
      <c r="B98" s="176" t="s">
        <v>222</v>
      </c>
      <c r="C98" s="176" t="s">
        <v>401</v>
      </c>
      <c r="D98" s="176" t="s">
        <v>397</v>
      </c>
      <c r="E98" s="176">
        <v>818</v>
      </c>
      <c r="F98" s="176" t="s">
        <v>224</v>
      </c>
      <c r="G98" s="176" t="s">
        <v>426</v>
      </c>
      <c r="H98" s="177">
        <v>42612</v>
      </c>
      <c r="I98" s="176">
        <v>1223.4856500000001</v>
      </c>
      <c r="J98" s="176">
        <v>10008.11</v>
      </c>
      <c r="K98" s="176">
        <v>0</v>
      </c>
    </row>
    <row r="99" spans="1:14" x14ac:dyDescent="0.2">
      <c r="A99" s="176" t="s">
        <v>221</v>
      </c>
      <c r="B99" s="176" t="s">
        <v>222</v>
      </c>
      <c r="C99" s="176" t="s">
        <v>406</v>
      </c>
      <c r="D99" s="176" t="s">
        <v>397</v>
      </c>
      <c r="E99" s="176">
        <v>2445473</v>
      </c>
      <c r="F99" s="176" t="s">
        <v>224</v>
      </c>
      <c r="G99" s="176" t="s">
        <v>426</v>
      </c>
      <c r="H99" s="177">
        <v>42612</v>
      </c>
      <c r="I99" s="176">
        <v>0.40899999999999997</v>
      </c>
      <c r="J99" s="176">
        <v>10000</v>
      </c>
      <c r="K99" s="176">
        <v>0</v>
      </c>
    </row>
    <row r="100" spans="1:14" x14ac:dyDescent="0.2">
      <c r="A100" s="176" t="s">
        <v>221</v>
      </c>
      <c r="B100" s="176" t="s">
        <v>222</v>
      </c>
      <c r="C100" s="176" t="s">
        <v>406</v>
      </c>
      <c r="D100" s="176" t="s">
        <v>397</v>
      </c>
      <c r="E100" s="176">
        <v>818</v>
      </c>
      <c r="F100" s="176" t="s">
        <v>224</v>
      </c>
      <c r="G100" s="176" t="s">
        <v>426</v>
      </c>
      <c r="H100" s="177">
        <v>42612</v>
      </c>
      <c r="I100" s="176">
        <v>1223.4860000000001</v>
      </c>
      <c r="J100" s="176">
        <v>10008.11</v>
      </c>
      <c r="K100" s="176">
        <v>0</v>
      </c>
      <c r="M100" s="50" t="s">
        <v>429</v>
      </c>
      <c r="N100">
        <f>+K119+K104</f>
        <v>140.82000000000062</v>
      </c>
    </row>
    <row r="101" spans="1:14" x14ac:dyDescent="0.2">
      <c r="A101" s="176" t="s">
        <v>221</v>
      </c>
      <c r="B101" s="176" t="s">
        <v>222</v>
      </c>
      <c r="C101" s="176" t="s">
        <v>401</v>
      </c>
      <c r="D101" s="176" t="s">
        <v>397</v>
      </c>
      <c r="E101" s="176">
        <v>2445473</v>
      </c>
      <c r="F101" s="176" t="s">
        <v>224</v>
      </c>
      <c r="G101" s="176" t="s">
        <v>426</v>
      </c>
      <c r="H101" s="177">
        <v>42612</v>
      </c>
      <c r="I101" s="176">
        <v>0.40892000000000001</v>
      </c>
      <c r="J101" s="176">
        <v>10000</v>
      </c>
      <c r="K101" s="176">
        <v>0</v>
      </c>
      <c r="M101" s="50" t="s">
        <v>430</v>
      </c>
      <c r="N101">
        <f>+K120+K102</f>
        <v>556.15000000000146</v>
      </c>
    </row>
    <row r="102" spans="1:14" x14ac:dyDescent="0.2">
      <c r="A102" s="176" t="s">
        <v>221</v>
      </c>
      <c r="B102" s="176" t="s">
        <v>222</v>
      </c>
      <c r="C102" s="179" t="s">
        <v>298</v>
      </c>
      <c r="D102" s="176" t="s">
        <v>397</v>
      </c>
      <c r="E102" s="176">
        <v>20000</v>
      </c>
      <c r="F102" s="176" t="s">
        <v>224</v>
      </c>
      <c r="G102" s="176" t="s">
        <v>426</v>
      </c>
      <c r="H102" s="177">
        <v>42688</v>
      </c>
      <c r="I102" s="176">
        <v>44</v>
      </c>
      <c r="J102" s="176">
        <v>8800</v>
      </c>
      <c r="K102" s="176">
        <v>-8852.7999999999993</v>
      </c>
      <c r="M102" s="50" t="s">
        <v>431</v>
      </c>
      <c r="N102">
        <f>+K117+K118-L117-L118</f>
        <v>25241.636666666665</v>
      </c>
    </row>
    <row r="103" spans="1:14" ht="13.5" thickBot="1" x14ac:dyDescent="0.25">
      <c r="A103" s="176" t="s">
        <v>221</v>
      </c>
      <c r="B103" s="176" t="s">
        <v>222</v>
      </c>
      <c r="C103" s="176" t="s">
        <v>403</v>
      </c>
      <c r="D103" s="176" t="s">
        <v>397</v>
      </c>
      <c r="E103" s="176">
        <v>1058</v>
      </c>
      <c r="F103" s="176" t="s">
        <v>224</v>
      </c>
      <c r="G103" s="176" t="s">
        <v>426</v>
      </c>
      <c r="H103" s="177">
        <v>42688</v>
      </c>
      <c r="I103" s="176">
        <v>472.6</v>
      </c>
      <c r="J103" s="176">
        <v>5000.1099999999997</v>
      </c>
      <c r="K103" s="176">
        <v>-5033.1099999999997</v>
      </c>
      <c r="M103" s="50" t="s">
        <v>433</v>
      </c>
      <c r="N103" s="41">
        <f>SUM(N100:N102)</f>
        <v>25938.606666666667</v>
      </c>
    </row>
    <row r="104" spans="1:14" ht="13.5" thickTop="1" x14ac:dyDescent="0.2">
      <c r="A104" s="176" t="s">
        <v>221</v>
      </c>
      <c r="B104" s="176" t="s">
        <v>222</v>
      </c>
      <c r="C104" s="179" t="s">
        <v>408</v>
      </c>
      <c r="D104" s="176" t="s">
        <v>397</v>
      </c>
      <c r="E104" s="176">
        <v>1772</v>
      </c>
      <c r="F104" s="176" t="s">
        <v>224</v>
      </c>
      <c r="G104" s="176" t="s">
        <v>426</v>
      </c>
      <c r="H104" s="177">
        <v>42688</v>
      </c>
      <c r="I104" s="176">
        <v>281</v>
      </c>
      <c r="J104" s="176">
        <v>4979.32</v>
      </c>
      <c r="K104" s="176">
        <v>-4987.32</v>
      </c>
    </row>
    <row r="105" spans="1:14" x14ac:dyDescent="0.2">
      <c r="A105" s="176" t="s">
        <v>221</v>
      </c>
      <c r="B105" s="176" t="s">
        <v>222</v>
      </c>
      <c r="C105" s="176" t="s">
        <v>243</v>
      </c>
      <c r="D105" s="176" t="s">
        <v>397</v>
      </c>
      <c r="E105" s="176">
        <v>2304</v>
      </c>
      <c r="F105" s="176" t="s">
        <v>224</v>
      </c>
      <c r="G105" s="176" t="s">
        <v>426</v>
      </c>
      <c r="H105" s="177">
        <v>42688</v>
      </c>
      <c r="I105" s="176">
        <v>217</v>
      </c>
      <c r="J105" s="176">
        <v>4999.68</v>
      </c>
      <c r="K105" s="176">
        <v>-5032.68</v>
      </c>
    </row>
    <row r="106" spans="1:14" x14ac:dyDescent="0.2">
      <c r="A106" s="176" t="s">
        <v>221</v>
      </c>
      <c r="B106" s="176" t="s">
        <v>222</v>
      </c>
      <c r="C106" s="176" t="s">
        <v>225</v>
      </c>
      <c r="D106" s="176" t="s">
        <v>397</v>
      </c>
      <c r="E106" s="176">
        <v>11277</v>
      </c>
      <c r="F106" s="176" t="s">
        <v>224</v>
      </c>
      <c r="G106" s="176" t="s">
        <v>426</v>
      </c>
      <c r="H106" s="177">
        <v>42689</v>
      </c>
      <c r="I106" s="176">
        <v>147.31</v>
      </c>
      <c r="J106" s="176">
        <v>16612.16</v>
      </c>
      <c r="K106" s="176">
        <v>-16629.77</v>
      </c>
    </row>
    <row r="107" spans="1:14" x14ac:dyDescent="0.2">
      <c r="A107" s="176" t="s">
        <v>221</v>
      </c>
      <c r="B107" s="176" t="s">
        <v>222</v>
      </c>
      <c r="C107" s="176" t="s">
        <v>300</v>
      </c>
      <c r="D107" s="176" t="s">
        <v>397</v>
      </c>
      <c r="E107" s="176">
        <v>531</v>
      </c>
      <c r="F107" s="176" t="s">
        <v>224</v>
      </c>
      <c r="G107" s="176" t="s">
        <v>426</v>
      </c>
      <c r="H107" s="177">
        <v>42691</v>
      </c>
      <c r="I107" s="176">
        <v>189.946</v>
      </c>
      <c r="J107" s="176">
        <v>1008.62</v>
      </c>
      <c r="K107" s="176">
        <v>-1016.62</v>
      </c>
    </row>
    <row r="108" spans="1:14" x14ac:dyDescent="0.2">
      <c r="A108" s="176" t="s">
        <v>221</v>
      </c>
      <c r="B108" s="176" t="s">
        <v>222</v>
      </c>
      <c r="C108" s="176" t="s">
        <v>236</v>
      </c>
      <c r="D108" s="176" t="s">
        <v>397</v>
      </c>
      <c r="E108" s="176">
        <v>4589</v>
      </c>
      <c r="F108" s="176" t="s">
        <v>224</v>
      </c>
      <c r="G108" s="176" t="s">
        <v>426</v>
      </c>
      <c r="H108" s="177">
        <v>42691</v>
      </c>
      <c r="I108" s="176">
        <v>187.4</v>
      </c>
      <c r="J108" s="176">
        <v>8599.7900000000009</v>
      </c>
      <c r="K108" s="176">
        <v>-8651.39</v>
      </c>
    </row>
    <row r="109" spans="1:14" x14ac:dyDescent="0.2">
      <c r="A109" s="176" t="s">
        <v>221</v>
      </c>
      <c r="B109" s="176" t="s">
        <v>222</v>
      </c>
      <c r="C109" s="176" t="s">
        <v>236</v>
      </c>
      <c r="D109" s="176" t="s">
        <v>397</v>
      </c>
      <c r="E109" s="176">
        <v>2531</v>
      </c>
      <c r="F109" s="176" t="s">
        <v>224</v>
      </c>
      <c r="G109" s="176" t="s">
        <v>426</v>
      </c>
      <c r="H109" s="177">
        <v>42832</v>
      </c>
      <c r="I109" s="176">
        <v>197.2</v>
      </c>
      <c r="J109" s="176">
        <v>4991.13</v>
      </c>
      <c r="K109" s="176">
        <v>-5024.09</v>
      </c>
    </row>
    <row r="110" spans="1:14" x14ac:dyDescent="0.2">
      <c r="A110" s="176"/>
      <c r="B110" s="176"/>
      <c r="C110" s="176"/>
      <c r="D110" s="176"/>
      <c r="E110" s="176"/>
      <c r="F110" s="176"/>
      <c r="G110" s="176"/>
      <c r="H110" s="177"/>
      <c r="I110" s="176"/>
      <c r="J110" s="176"/>
      <c r="K110" s="176"/>
    </row>
    <row r="111" spans="1:14" ht="13.5" thickBot="1" x14ac:dyDescent="0.25">
      <c r="A111" s="176"/>
      <c r="B111" s="176"/>
      <c r="C111" s="176"/>
      <c r="D111" s="176"/>
      <c r="E111" s="176"/>
      <c r="F111" s="176"/>
      <c r="G111" s="176"/>
      <c r="H111" s="177"/>
      <c r="I111" s="176"/>
      <c r="J111" s="176"/>
      <c r="K111" s="178">
        <f>SUM(K98:K110)</f>
        <v>-55227.78</v>
      </c>
      <c r="L111" s="50" t="s">
        <v>427</v>
      </c>
    </row>
    <row r="112" spans="1:14" ht="13.5" thickTop="1" x14ac:dyDescent="0.2">
      <c r="A112" s="176"/>
      <c r="B112" s="176"/>
      <c r="C112" s="176"/>
      <c r="D112" s="176"/>
      <c r="E112" s="176"/>
      <c r="F112" s="176"/>
      <c r="G112" s="176"/>
      <c r="H112" s="177"/>
      <c r="I112" s="176"/>
      <c r="J112" s="176"/>
      <c r="K112" s="176"/>
    </row>
    <row r="113" spans="1:12" x14ac:dyDescent="0.2">
      <c r="A113" s="176" t="s">
        <v>221</v>
      </c>
      <c r="B113" s="176" t="s">
        <v>222</v>
      </c>
      <c r="C113" s="176" t="s">
        <v>401</v>
      </c>
      <c r="D113" s="176" t="s">
        <v>399</v>
      </c>
      <c r="E113" s="176">
        <v>2445473</v>
      </c>
      <c r="F113" s="176" t="s">
        <v>224</v>
      </c>
      <c r="G113" s="176" t="s">
        <v>426</v>
      </c>
      <c r="H113" s="177">
        <v>42612</v>
      </c>
      <c r="I113" s="176">
        <v>0.40892000000000001</v>
      </c>
      <c r="J113" s="176">
        <v>10000</v>
      </c>
      <c r="K113" s="176">
        <v>0</v>
      </c>
    </row>
    <row r="114" spans="1:12" x14ac:dyDescent="0.2">
      <c r="A114" s="176" t="s">
        <v>221</v>
      </c>
      <c r="B114" s="176" t="s">
        <v>222</v>
      </c>
      <c r="C114" s="176" t="s">
        <v>401</v>
      </c>
      <c r="D114" s="176" t="s">
        <v>399</v>
      </c>
      <c r="E114" s="176">
        <v>2445473</v>
      </c>
      <c r="F114" s="176" t="s">
        <v>224</v>
      </c>
      <c r="G114" s="176" t="s">
        <v>426</v>
      </c>
      <c r="H114" s="177">
        <v>42612</v>
      </c>
      <c r="I114" s="176">
        <v>0.40892000000000001</v>
      </c>
      <c r="J114" s="176">
        <v>10000</v>
      </c>
      <c r="K114" s="176">
        <v>0</v>
      </c>
    </row>
    <row r="115" spans="1:12" x14ac:dyDescent="0.2">
      <c r="A115" s="176" t="s">
        <v>221</v>
      </c>
      <c r="B115" s="176" t="s">
        <v>222</v>
      </c>
      <c r="C115" s="176" t="s">
        <v>401</v>
      </c>
      <c r="D115" s="176" t="s">
        <v>399</v>
      </c>
      <c r="E115" s="176">
        <v>818</v>
      </c>
      <c r="F115" s="176" t="s">
        <v>224</v>
      </c>
      <c r="G115" s="176" t="s">
        <v>426</v>
      </c>
      <c r="H115" s="177">
        <v>42612</v>
      </c>
      <c r="I115" s="176">
        <v>1223.4856500000001</v>
      </c>
      <c r="J115" s="176">
        <v>10008.11</v>
      </c>
      <c r="K115" s="176">
        <v>0</v>
      </c>
    </row>
    <row r="116" spans="1:12" x14ac:dyDescent="0.2">
      <c r="A116" s="176" t="s">
        <v>221</v>
      </c>
      <c r="B116" s="176" t="s">
        <v>222</v>
      </c>
      <c r="C116" s="176" t="s">
        <v>406</v>
      </c>
      <c r="D116" s="176" t="s">
        <v>399</v>
      </c>
      <c r="E116" s="176">
        <v>2445473</v>
      </c>
      <c r="F116" s="176" t="s">
        <v>224</v>
      </c>
      <c r="G116" s="176" t="s">
        <v>426</v>
      </c>
      <c r="H116" s="177">
        <v>42612</v>
      </c>
      <c r="I116" s="176">
        <v>0.40899999999999997</v>
      </c>
      <c r="J116" s="176">
        <v>10000</v>
      </c>
      <c r="K116" s="176">
        <v>0</v>
      </c>
      <c r="L116" s="50" t="s">
        <v>432</v>
      </c>
    </row>
    <row r="117" spans="1:12" x14ac:dyDescent="0.2">
      <c r="A117" s="176" t="s">
        <v>221</v>
      </c>
      <c r="B117" s="176" t="s">
        <v>222</v>
      </c>
      <c r="C117" s="176" t="s">
        <v>225</v>
      </c>
      <c r="D117" s="176" t="s">
        <v>399</v>
      </c>
      <c r="E117" s="176">
        <v>11277</v>
      </c>
      <c r="F117" s="176" t="s">
        <v>224</v>
      </c>
      <c r="G117" s="176" t="s">
        <v>426</v>
      </c>
      <c r="H117" s="177">
        <v>42685</v>
      </c>
      <c r="I117" s="176">
        <v>165.3</v>
      </c>
      <c r="J117" s="176">
        <v>18640.88</v>
      </c>
      <c r="K117" s="176">
        <v>18621.240000000002</v>
      </c>
      <c r="L117">
        <f>+(18457.52/33831)*E117</f>
        <v>6152.5066666666671</v>
      </c>
    </row>
    <row r="118" spans="1:12" x14ac:dyDescent="0.2">
      <c r="A118" s="176" t="s">
        <v>221</v>
      </c>
      <c r="B118" s="176" t="s">
        <v>222</v>
      </c>
      <c r="C118" s="176" t="s">
        <v>225</v>
      </c>
      <c r="D118" s="176" t="s">
        <v>399</v>
      </c>
      <c r="E118" s="176">
        <v>11277</v>
      </c>
      <c r="F118" s="176" t="s">
        <v>224</v>
      </c>
      <c r="G118" s="176" t="s">
        <v>426</v>
      </c>
      <c r="H118" s="177">
        <v>42685</v>
      </c>
      <c r="I118" s="176">
        <v>168</v>
      </c>
      <c r="J118" s="176">
        <v>18945.36</v>
      </c>
      <c r="K118" s="176">
        <v>18925.41</v>
      </c>
      <c r="L118">
        <f>+(18457.52/33831)*E118</f>
        <v>6152.5066666666671</v>
      </c>
    </row>
    <row r="119" spans="1:12" x14ac:dyDescent="0.2">
      <c r="A119" s="176" t="s">
        <v>221</v>
      </c>
      <c r="B119" s="176" t="s">
        <v>222</v>
      </c>
      <c r="C119" s="179" t="s">
        <v>408</v>
      </c>
      <c r="D119" s="176" t="s">
        <v>399</v>
      </c>
      <c r="E119" s="176">
        <v>1772</v>
      </c>
      <c r="F119" s="176" t="s">
        <v>224</v>
      </c>
      <c r="G119" s="176" t="s">
        <v>426</v>
      </c>
      <c r="H119" s="177">
        <v>42688</v>
      </c>
      <c r="I119" s="176">
        <v>289.85000000000002</v>
      </c>
      <c r="J119" s="176">
        <v>5136.1400000000003</v>
      </c>
      <c r="K119" s="176">
        <v>5128.1400000000003</v>
      </c>
    </row>
    <row r="120" spans="1:12" x14ac:dyDescent="0.2">
      <c r="A120" s="176" t="s">
        <v>221</v>
      </c>
      <c r="B120" s="176" t="s">
        <v>222</v>
      </c>
      <c r="C120" s="179" t="s">
        <v>298</v>
      </c>
      <c r="D120" s="176" t="s">
        <v>399</v>
      </c>
      <c r="E120" s="176">
        <v>20000</v>
      </c>
      <c r="F120" s="176" t="s">
        <v>224</v>
      </c>
      <c r="G120" s="176" t="s">
        <v>426</v>
      </c>
      <c r="H120" s="177">
        <v>42691</v>
      </c>
      <c r="I120" s="176">
        <v>47.091999999999999</v>
      </c>
      <c r="J120" s="176">
        <v>9418.3700000000008</v>
      </c>
      <c r="K120" s="176">
        <v>9408.9500000000007</v>
      </c>
    </row>
    <row r="122" spans="1:12" ht="13.5" thickBot="1" x14ac:dyDescent="0.25">
      <c r="K122" s="57">
        <f>SUM(K113:K121)</f>
        <v>52083.740000000005</v>
      </c>
      <c r="L122" s="50" t="s">
        <v>428</v>
      </c>
    </row>
    <row r="123" spans="1:12" ht="13.5" thickTop="1" x14ac:dyDescent="0.2"/>
  </sheetData>
  <sortState ref="A98:L117">
    <sortCondition ref="D98:D117"/>
  </sortState>
  <mergeCells count="18">
    <mergeCell ref="A11:B11"/>
    <mergeCell ref="B1:B4"/>
    <mergeCell ref="A5:B5"/>
    <mergeCell ref="A6:B6"/>
    <mergeCell ref="A9:B9"/>
    <mergeCell ref="A10:B10"/>
    <mergeCell ref="C35:H35"/>
    <mergeCell ref="A12:B12"/>
    <mergeCell ref="A13:B13"/>
    <mergeCell ref="A14:B14"/>
    <mergeCell ref="A15:B15"/>
    <mergeCell ref="A16:B16"/>
    <mergeCell ref="A17:B17"/>
    <mergeCell ref="A19:G19"/>
    <mergeCell ref="A30:K30"/>
    <mergeCell ref="A23:K23"/>
    <mergeCell ref="B25:I25"/>
    <mergeCell ref="A33:J3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Pension Funds</vt:lpstr>
      <vt:lpstr>Receipts and payments 2017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Share account 5-4-17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Stacy</cp:lastModifiedBy>
  <cp:lastPrinted>2017-06-14T11:43:54Z</cp:lastPrinted>
  <dcterms:created xsi:type="dcterms:W3CDTF">2010-10-15T07:41:57Z</dcterms:created>
  <dcterms:modified xsi:type="dcterms:W3CDTF">2017-06-14T12:07:58Z</dcterms:modified>
</cp:coreProperties>
</file>