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\Desktop\"/>
    </mc:Choice>
  </mc:AlternateContent>
  <xr:revisionPtr revIDLastSave="0" documentId="13_ncr:1_{A473329A-3940-4BE9-A3CE-6C6F54BACC29}" xr6:coauthVersionLast="31" xr6:coauthVersionMax="31" xr10:uidLastSave="{00000000-0000-0000-0000-000000000000}"/>
  <bookViews>
    <workbookView xWindow="0" yWindow="0" windowWidth="20490" windowHeight="7680" activeTab="2" xr2:uid="{00000000-000D-0000-FFFF-FFFF00000000}"/>
  </bookViews>
  <sheets>
    <sheet name="Top Sheet" sheetId="1" r:id="rId1"/>
    <sheet name="Notes" sheetId="6" r:id="rId2"/>
    <sheet name="Assets" sheetId="2" r:id="rId3"/>
    <sheet name="General Account" sheetId="3" r:id="rId4"/>
    <sheet name="Stephen Howells" sheetId="4" r:id="rId5"/>
    <sheet name="Steven Dicks" sheetId="5" r:id="rId6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5" l="1"/>
  <c r="E12" i="2"/>
  <c r="D12" i="2"/>
  <c r="B5" i="1"/>
  <c r="E8" i="2"/>
  <c r="D8" i="2"/>
  <c r="C95" i="5"/>
  <c r="C95" i="4"/>
  <c r="D94" i="4"/>
  <c r="D94" i="5"/>
  <c r="C93" i="5"/>
  <c r="C93" i="4"/>
  <c r="C92" i="4"/>
  <c r="B3" i="4" s="1"/>
  <c r="C92" i="5"/>
  <c r="C88" i="4"/>
  <c r="C88" i="5"/>
  <c r="D5" i="2"/>
  <c r="D4" i="2"/>
  <c r="E4" i="2"/>
  <c r="D6" i="2"/>
  <c r="C90" i="5"/>
  <c r="C89" i="5"/>
  <c r="C90" i="4"/>
  <c r="C89" i="4"/>
  <c r="C87" i="4"/>
  <c r="C86" i="4"/>
  <c r="C87" i="5"/>
  <c r="C86" i="5"/>
  <c r="D68" i="5"/>
  <c r="D85" i="5"/>
  <c r="C85" i="5"/>
  <c r="C84" i="5"/>
  <c r="C83" i="5"/>
  <c r="C82" i="5"/>
  <c r="C81" i="5"/>
  <c r="C80" i="5"/>
  <c r="C79" i="5"/>
  <c r="C78" i="5"/>
  <c r="C77" i="5"/>
  <c r="C76" i="5"/>
  <c r="C75" i="5"/>
  <c r="C74" i="5"/>
  <c r="D85" i="4"/>
  <c r="C84" i="4"/>
  <c r="C83" i="4"/>
  <c r="C82" i="4"/>
  <c r="C81" i="4"/>
  <c r="C80" i="4"/>
  <c r="C79" i="4"/>
  <c r="C78" i="4"/>
  <c r="C77" i="4"/>
  <c r="C76" i="4"/>
  <c r="C75" i="4"/>
  <c r="C74" i="4"/>
  <c r="C85" i="4"/>
  <c r="D73" i="5"/>
  <c r="D73" i="4"/>
  <c r="C72" i="5"/>
  <c r="C71" i="5"/>
  <c r="C70" i="5"/>
  <c r="C72" i="4"/>
  <c r="C71" i="4"/>
  <c r="C70" i="4"/>
  <c r="D69" i="4"/>
  <c r="D69" i="5"/>
  <c r="C67" i="5"/>
  <c r="C66" i="5"/>
  <c r="C65" i="5"/>
  <c r="C67" i="4"/>
  <c r="C66" i="4"/>
  <c r="C65" i="4"/>
  <c r="C64" i="5"/>
  <c r="C63" i="5"/>
  <c r="C62" i="5"/>
  <c r="C61" i="5"/>
  <c r="C60" i="5"/>
  <c r="C59" i="5"/>
  <c r="C58" i="5"/>
  <c r="C56" i="5"/>
  <c r="C55" i="5"/>
  <c r="C54" i="5"/>
  <c r="C53" i="5"/>
  <c r="C52" i="5"/>
  <c r="C64" i="4"/>
  <c r="C63" i="4"/>
  <c r="C62" i="4"/>
  <c r="C61" i="4"/>
  <c r="C60" i="4"/>
  <c r="C59" i="4"/>
  <c r="C58" i="4"/>
  <c r="C57" i="4"/>
  <c r="C56" i="4"/>
  <c r="C54" i="4"/>
  <c r="C55" i="4"/>
  <c r="C53" i="4"/>
  <c r="C52" i="4"/>
  <c r="D51" i="5"/>
  <c r="D51" i="4"/>
  <c r="C50" i="5"/>
  <c r="C49" i="5"/>
  <c r="C48" i="5"/>
  <c r="C47" i="5"/>
  <c r="C46" i="5"/>
  <c r="C45" i="5"/>
  <c r="C44" i="5"/>
  <c r="C43" i="5"/>
  <c r="C42" i="5"/>
  <c r="C41" i="5"/>
  <c r="C40" i="5"/>
  <c r="C39" i="5"/>
  <c r="C48" i="4"/>
  <c r="C46" i="4"/>
  <c r="C45" i="4"/>
  <c r="C44" i="4"/>
  <c r="C42" i="4"/>
  <c r="C41" i="4"/>
  <c r="C40" i="4"/>
  <c r="C50" i="4"/>
  <c r="C49" i="4"/>
  <c r="C47" i="4"/>
  <c r="C43" i="4"/>
  <c r="C39" i="4"/>
  <c r="C38" i="5"/>
  <c r="C37" i="5"/>
  <c r="C36" i="5"/>
  <c r="C35" i="5"/>
  <c r="C34" i="5"/>
  <c r="C33" i="5"/>
  <c r="C32" i="5"/>
  <c r="C31" i="5"/>
  <c r="C30" i="5"/>
  <c r="C38" i="4"/>
  <c r="C37" i="4"/>
  <c r="C36" i="4"/>
  <c r="C35" i="4"/>
  <c r="C34" i="4"/>
  <c r="C33" i="4"/>
  <c r="C32" i="4"/>
  <c r="C31" i="4"/>
  <c r="C30" i="4"/>
  <c r="C29" i="4"/>
  <c r="C28" i="4"/>
  <c r="C29" i="5"/>
  <c r="C28" i="5"/>
  <c r="C27" i="5"/>
  <c r="D27" i="5"/>
  <c r="D26" i="5"/>
  <c r="D25" i="5"/>
  <c r="C26" i="5"/>
  <c r="C25" i="5"/>
  <c r="C27" i="4"/>
  <c r="C26" i="4"/>
  <c r="C25" i="4"/>
  <c r="C23" i="5"/>
  <c r="C22" i="5"/>
  <c r="C21" i="5"/>
  <c r="C20" i="5"/>
  <c r="C19" i="5"/>
  <c r="C23" i="4"/>
  <c r="C22" i="4"/>
  <c r="C21" i="4"/>
  <c r="C20" i="4"/>
  <c r="C19" i="4"/>
  <c r="B4" i="5" l="1"/>
  <c r="E6" i="2"/>
  <c r="E7" i="2"/>
  <c r="E5" i="2"/>
  <c r="D7" i="2"/>
  <c r="B4" i="4" s="1"/>
  <c r="B3" i="5"/>
  <c r="B4" i="1" l="1"/>
  <c r="B9" i="2" s="1"/>
  <c r="B5" i="5" l="1"/>
  <c r="C12" i="1" s="1"/>
  <c r="F12" i="1" s="1"/>
  <c r="E9" i="2"/>
  <c r="E11" i="2" s="1"/>
  <c r="D9" i="2"/>
  <c r="B11" i="2"/>
  <c r="B7" i="1" l="1"/>
  <c r="D12" i="1" l="1"/>
  <c r="B5" i="4" l="1"/>
  <c r="C11" i="1" s="1"/>
  <c r="F11" i="1" s="1"/>
  <c r="D11" i="1" l="1"/>
  <c r="D19" i="1" s="1"/>
  <c r="C19" i="1"/>
  <c r="D11" i="2"/>
</calcChain>
</file>

<file path=xl/sharedStrings.xml><?xml version="1.0" encoding="utf-8"?>
<sst xmlns="http://schemas.openxmlformats.org/spreadsheetml/2006/main" count="254" uniqueCount="106">
  <si>
    <t>General Account</t>
  </si>
  <si>
    <t>Notes</t>
  </si>
  <si>
    <t>Asset</t>
  </si>
  <si>
    <t>Value</t>
  </si>
  <si>
    <t>Cash at bank</t>
  </si>
  <si>
    <t>Investments</t>
  </si>
  <si>
    <t>Date</t>
  </si>
  <si>
    <t>Description</t>
  </si>
  <si>
    <t>Amount</t>
  </si>
  <si>
    <t>Cash movement</t>
  </si>
  <si>
    <t>Fund value</t>
  </si>
  <si>
    <t>Fund split</t>
  </si>
  <si>
    <t>Total fund value</t>
  </si>
  <si>
    <t>Total investments</t>
  </si>
  <si>
    <t>Total cash at bank</t>
  </si>
  <si>
    <t>Members</t>
  </si>
  <si>
    <t>Individual Fund Value</t>
  </si>
  <si>
    <t>Individual Fund Split</t>
  </si>
  <si>
    <t>Splits</t>
  </si>
  <si>
    <t>Totals</t>
  </si>
  <si>
    <t>Date of split :</t>
  </si>
  <si>
    <t>Date established :</t>
  </si>
  <si>
    <t>Crystallised fund</t>
  </si>
  <si>
    <t>Uncrystallised fund</t>
  </si>
  <si>
    <t>Crystallied fund % of total fund</t>
  </si>
  <si>
    <t>Total crystallised as of last BCE</t>
  </si>
  <si>
    <t>Crystallised Fund</t>
  </si>
  <si>
    <t>Uncrystallised Fund</t>
  </si>
  <si>
    <t>Fund split %</t>
  </si>
  <si>
    <t>Stephen John Howells</t>
  </si>
  <si>
    <t>Steven Dicks</t>
  </si>
  <si>
    <t>Millstone Executive Pension</t>
  </si>
  <si>
    <t>2nd April 2014</t>
  </si>
  <si>
    <t>Transfer in from Scottish Widows</t>
  </si>
  <si>
    <t>Stephen Howells</t>
  </si>
  <si>
    <t>Fees to Fenwicks Solicitors</t>
  </si>
  <si>
    <t>Contribution</t>
  </si>
  <si>
    <t>Fees to Spencer Skuse and Potter</t>
  </si>
  <si>
    <t>Payment charge</t>
  </si>
  <si>
    <t>Property Purchase</t>
  </si>
  <si>
    <t>Interest payment - £3.02</t>
  </si>
  <si>
    <t>Interest payment - £26.06</t>
  </si>
  <si>
    <t>Interest payment - £26.25</t>
  </si>
  <si>
    <t>Interest payment - £25.41</t>
  </si>
  <si>
    <t>Interest payment - £15.25</t>
  </si>
  <si>
    <t>Interest payment - £0.45</t>
  </si>
  <si>
    <t>Interest payment - £0.35</t>
  </si>
  <si>
    <t>Interest payment - £0.39</t>
  </si>
  <si>
    <t>Interest payment - £0.38</t>
  </si>
  <si>
    <t>PP Fees</t>
  </si>
  <si>
    <t>Interest payment - £0.32</t>
  </si>
  <si>
    <t>Interest payment - £0.31</t>
  </si>
  <si>
    <t>Interest payment - £0.25</t>
  </si>
  <si>
    <t>Interest payment - £0.22</t>
  </si>
  <si>
    <t>Interest payment - £0.24</t>
  </si>
  <si>
    <t>Interest payment - £0.16</t>
  </si>
  <si>
    <t>Pension Regulator Fees</t>
  </si>
  <si>
    <t>Inward payment from Spencer Skuse and Potter</t>
  </si>
  <si>
    <t>Sale of property bought in Dec 2014?</t>
  </si>
  <si>
    <t>£6,000 total - confirmed as contribution?</t>
  </si>
  <si>
    <t>£45,000 total - confirmed as contribution?</t>
  </si>
  <si>
    <t>Interest payment - £8.94</t>
  </si>
  <si>
    <t>Interest payment - £40.43</t>
  </si>
  <si>
    <t>MULCQ Cheque Deposit for £90</t>
  </si>
  <si>
    <t>Interest payment - £41.71</t>
  </si>
  <si>
    <t>Interest payment - £20.66</t>
  </si>
  <si>
    <t>Interest payment - £5.45</t>
  </si>
  <si>
    <t>Interest payment - £4.44</t>
  </si>
  <si>
    <t>Interest payment - £3.61</t>
  </si>
  <si>
    <t>Interest payment - £3.73</t>
  </si>
  <si>
    <t>Fees refund to Millstone Construction (£2,338.74)</t>
  </si>
  <si>
    <t>Interest payment - £3.69</t>
  </si>
  <si>
    <t>Interest payment - £3.16</t>
  </si>
  <si>
    <t>£20,000 total - confirmed as contribution?</t>
  </si>
  <si>
    <t>Interest payment - £3.60</t>
  </si>
  <si>
    <t>Interest payment - £6.64</t>
  </si>
  <si>
    <t>£49,000 total - confirmed as contribution?</t>
  </si>
  <si>
    <t>Interest payment - £7.13</t>
  </si>
  <si>
    <t>Pension Regulator Fees - £29</t>
  </si>
  <si>
    <t>PP Fees - £360</t>
  </si>
  <si>
    <t>Interest payment - £10.67</t>
  </si>
  <si>
    <t>Straford Collins Fees - £997</t>
  </si>
  <si>
    <t>Interest payment - £10.92</t>
  </si>
  <si>
    <t>Interest payment - £10.91</t>
  </si>
  <si>
    <t>Interest payment - £10.02</t>
  </si>
  <si>
    <t>PP Fees - £330</t>
  </si>
  <si>
    <t>Interest payment - £2.39</t>
  </si>
  <si>
    <t>Transfer in from Alltrust - £443,579.08</t>
  </si>
  <si>
    <t>Assuming 50/50 split - awaiting confirmation</t>
  </si>
  <si>
    <t>Interest payment - £30.27</t>
  </si>
  <si>
    <t>Interest payment - £15.51</t>
  </si>
  <si>
    <t>Third Party Loan</t>
  </si>
  <si>
    <t>Transfer to Spencer Skuse and Potter Client Account - £100,000</t>
  </si>
  <si>
    <t>PP Fees - £150</t>
  </si>
  <si>
    <t>Migration to AIB Account</t>
  </si>
  <si>
    <t>Third Party loan - 28/09/2017</t>
  </si>
  <si>
    <t>Third Party loan - 14/12/2017</t>
  </si>
  <si>
    <t>Transfer to Spencer Skuse and Potter Client Account - £75,000</t>
  </si>
  <si>
    <t>Third Party loan - 23/01/2018</t>
  </si>
  <si>
    <t>Third Party Loan - £70,000</t>
  </si>
  <si>
    <t>£31,000 total - confirmed as contribution?</t>
  </si>
  <si>
    <t>Third Party loan - 23/03/2018</t>
  </si>
  <si>
    <t>Third Party loan - 25/08/2016</t>
  </si>
  <si>
    <t>Transfer to Spencer Skuse and Potter Client Account - £152,373</t>
  </si>
  <si>
    <t>Loan docs signed in December 2016</t>
  </si>
  <si>
    <t>25th 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</si>
</sst>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14" fontId="0" fillId="0" borderId="0" xfId="0" applyNumberFormat="1"/>
    <xf numFmtId="16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left" wrapText="1"/>
    </xf>
    <xf numFmtId="10" fontId="1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 wrapText="1"/>
    </xf>
    <xf numFmtId="17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0" fillId="0" borderId="0" xfId="0" applyFont="1"/>
    <xf numFmtId="14" fontId="1" fillId="0" borderId="0" xfId="0" applyNumberFormat="1" applyFont="1" applyAlignment="1">
      <alignment horizontal="left"/>
    </xf>
    <xf numFmtId="165" fontId="0" fillId="0" borderId="0" xfId="0" applyNumberFormat="1"/>
    <xf numFmtId="0" fontId="0" fillId="2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Fill="1"/>
    <xf numFmtId="16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164" fontId="0" fillId="0" borderId="0" xfId="0" applyNumberFormat="1" applyFill="1"/>
    <xf numFmtId="165" fontId="0" fillId="0" borderId="0" xfId="0" applyNumberFormat="1" applyFill="1" applyAlignment="1">
      <alignment wrapText="1"/>
    </xf>
    <xf numFmtId="165" fontId="1" fillId="0" borderId="0" xfId="0" applyNumberFormat="1" applyFont="1"/>
    <xf numFmtId="165" fontId="0" fillId="0" borderId="0" xfId="0" applyNumberFormat="1" applyFill="1"/>
    <xf numFmtId="14" fontId="0" fillId="3" borderId="0" xfId="0" applyNumberFormat="1" applyFill="1" applyAlignment="1">
      <alignment horizontal="left"/>
    </xf>
    <xf numFmtId="0" fontId="0" fillId="3" borderId="0" xfId="0" applyFill="1" applyAlignment="1">
      <alignment wrapText="1"/>
    </xf>
    <xf numFmtId="164" fontId="0" fillId="3" borderId="0" xfId="0" applyNumberFormat="1" applyFill="1" applyAlignment="1">
      <alignment horizontal="left"/>
    </xf>
    <xf numFmtId="165" fontId="0" fillId="3" borderId="0" xfId="0" applyNumberForma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workbookViewId="0">
      <selection activeCell="C3" sqref="C3"/>
    </sheetView>
  </sheetViews>
  <sheetFormatPr defaultRowHeight="15" x14ac:dyDescent="0.25"/>
  <cols>
    <col min="1" max="1" width="27.28515625" style="14" customWidth="1"/>
    <col min="2" max="2" width="27.28515625" style="11" customWidth="1"/>
    <col min="3" max="9" width="27.28515625" style="14" customWidth="1"/>
    <col min="10" max="10" width="27.42578125" style="14" customWidth="1"/>
    <col min="11" max="11" width="73.140625" style="18" customWidth="1"/>
    <col min="12" max="16384" width="9.140625" style="14"/>
  </cols>
  <sheetData>
    <row r="1" spans="1:11" x14ac:dyDescent="0.25">
      <c r="A1" s="13" t="s">
        <v>31</v>
      </c>
      <c r="B1" s="14"/>
      <c r="C1" s="13"/>
      <c r="D1" s="13"/>
      <c r="E1" s="13"/>
      <c r="F1" s="13"/>
      <c r="G1" s="13"/>
      <c r="H1" s="13"/>
      <c r="I1" s="13"/>
      <c r="J1" s="13"/>
      <c r="K1" s="16"/>
    </row>
    <row r="2" spans="1:11" x14ac:dyDescent="0.25">
      <c r="A2" s="12" t="s">
        <v>21</v>
      </c>
      <c r="B2" s="12" t="s">
        <v>32</v>
      </c>
      <c r="C2" s="13"/>
      <c r="D2" s="13"/>
      <c r="E2" s="13"/>
      <c r="F2" s="13"/>
      <c r="G2" s="13"/>
      <c r="H2" s="13"/>
      <c r="I2" s="13"/>
      <c r="J2" s="13"/>
      <c r="K2" s="16"/>
    </row>
    <row r="3" spans="1:11" x14ac:dyDescent="0.25">
      <c r="A3" s="13" t="s">
        <v>20</v>
      </c>
      <c r="B3" s="25" t="s">
        <v>105</v>
      </c>
      <c r="C3" s="13"/>
      <c r="D3" s="13"/>
      <c r="E3" s="13"/>
      <c r="F3" s="13"/>
      <c r="G3" s="13"/>
      <c r="H3" s="13"/>
      <c r="I3" s="13"/>
      <c r="J3" s="13"/>
      <c r="K3" s="16"/>
    </row>
    <row r="4" spans="1:11" x14ac:dyDescent="0.25">
      <c r="A4" s="17" t="s">
        <v>14</v>
      </c>
      <c r="B4" s="11">
        <f>'Stephen Howells'!B3+'Steven Dicks'!B3</f>
        <v>256981.62209307408</v>
      </c>
    </row>
    <row r="5" spans="1:11" s="11" customFormat="1" x14ac:dyDescent="0.25">
      <c r="A5" s="11" t="s">
        <v>13</v>
      </c>
      <c r="B5" s="11">
        <f>SUM(Assets!B4:B8)</f>
        <v>497373</v>
      </c>
      <c r="K5" s="19"/>
    </row>
    <row r="6" spans="1:11" s="11" customFormat="1" x14ac:dyDescent="0.25">
      <c r="K6" s="19"/>
    </row>
    <row r="7" spans="1:11" s="15" customFormat="1" x14ac:dyDescent="0.25">
      <c r="A7" s="20" t="s">
        <v>12</v>
      </c>
      <c r="B7" s="12">
        <f>SUM(B4:B5)</f>
        <v>754354.62209307402</v>
      </c>
      <c r="K7" s="21"/>
    </row>
    <row r="9" spans="1:11" x14ac:dyDescent="0.25">
      <c r="A9" s="13" t="s">
        <v>15</v>
      </c>
      <c r="B9" s="12"/>
      <c r="C9" s="12" t="s">
        <v>16</v>
      </c>
      <c r="D9" s="13" t="s">
        <v>17</v>
      </c>
      <c r="E9" s="13" t="s">
        <v>26</v>
      </c>
      <c r="F9" s="13" t="s">
        <v>27</v>
      </c>
      <c r="G9" s="13" t="s">
        <v>1</v>
      </c>
    </row>
    <row r="10" spans="1:11" s="11" customFormat="1" x14ac:dyDescent="0.25">
      <c r="K10" s="19"/>
    </row>
    <row r="11" spans="1:11" s="11" customFormat="1" x14ac:dyDescent="0.25">
      <c r="A11" s="11" t="s">
        <v>29</v>
      </c>
      <c r="B11" s="22"/>
      <c r="C11" s="11">
        <f>'Stephen Howells'!B5</f>
        <v>377395.95730917546</v>
      </c>
      <c r="D11" s="23">
        <f>C11/B7</f>
        <v>0.50028984546025812</v>
      </c>
      <c r="E11" s="11">
        <v>0</v>
      </c>
      <c r="F11" s="11">
        <f>C11-E11</f>
        <v>377395.95730917546</v>
      </c>
      <c r="K11" s="19"/>
    </row>
    <row r="12" spans="1:11" s="11" customFormat="1" x14ac:dyDescent="0.25">
      <c r="A12" s="11" t="s">
        <v>30</v>
      </c>
      <c r="B12" s="22"/>
      <c r="C12" s="11">
        <f>'Steven Dicks'!B5</f>
        <v>376958.66478389862</v>
      </c>
      <c r="D12" s="23">
        <f>C12/B7</f>
        <v>0.49971015453974188</v>
      </c>
      <c r="E12" s="11">
        <v>0</v>
      </c>
      <c r="F12" s="11">
        <f>C12-E12</f>
        <v>376958.66478389862</v>
      </c>
      <c r="K12" s="19"/>
    </row>
    <row r="13" spans="1:11" s="11" customFormat="1" x14ac:dyDescent="0.25">
      <c r="C13" s="15"/>
      <c r="K13" s="19"/>
    </row>
    <row r="14" spans="1:11" s="11" customFormat="1" x14ac:dyDescent="0.25">
      <c r="C14" s="15"/>
      <c r="K14" s="19"/>
    </row>
    <row r="15" spans="1:11" s="15" customFormat="1" x14ac:dyDescent="0.25">
      <c r="B15" s="11"/>
      <c r="K15" s="21"/>
    </row>
    <row r="16" spans="1:11" s="11" customFormat="1" x14ac:dyDescent="0.25">
      <c r="C16" s="15"/>
      <c r="K16" s="19"/>
    </row>
    <row r="17" spans="1:11" x14ac:dyDescent="0.25">
      <c r="A17" s="11" t="s">
        <v>0</v>
      </c>
      <c r="C17" s="11">
        <v>0</v>
      </c>
      <c r="D17" s="23">
        <v>0</v>
      </c>
    </row>
    <row r="18" spans="1:11" x14ac:dyDescent="0.25">
      <c r="A18" s="13"/>
      <c r="C18" s="15"/>
    </row>
    <row r="19" spans="1:11" s="11" customFormat="1" x14ac:dyDescent="0.25">
      <c r="A19" s="12" t="s">
        <v>19</v>
      </c>
      <c r="C19" s="12">
        <f>SUM(C11:C12)</f>
        <v>754354.62209307402</v>
      </c>
      <c r="D19" s="20">
        <f>SUM(D11:D12)</f>
        <v>1</v>
      </c>
      <c r="E19" s="20"/>
      <c r="F19" s="20"/>
      <c r="K19" s="19"/>
    </row>
    <row r="20" spans="1:11" s="11" customFormat="1" x14ac:dyDescent="0.25">
      <c r="K20" s="19"/>
    </row>
    <row r="21" spans="1:11" s="11" customFormat="1" x14ac:dyDescent="0.25">
      <c r="K21" s="19"/>
    </row>
    <row r="22" spans="1:11" s="11" customFormat="1" x14ac:dyDescent="0.25">
      <c r="K22" s="19"/>
    </row>
    <row r="23" spans="1:11" s="11" customFormat="1" x14ac:dyDescent="0.25">
      <c r="K23" s="19"/>
    </row>
    <row r="24" spans="1:11" s="15" customFormat="1" x14ac:dyDescent="0.25">
      <c r="B24" s="11"/>
      <c r="K24" s="21"/>
    </row>
    <row r="25" spans="1:11" s="11" customFormat="1" x14ac:dyDescent="0.25">
      <c r="K25" s="19"/>
    </row>
    <row r="26" spans="1:11" s="15" customFormat="1" x14ac:dyDescent="0.25">
      <c r="B26" s="11"/>
      <c r="K26" s="2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8"/>
  <sheetViews>
    <sheetView workbookViewId="0">
      <selection activeCell="A3" sqref="A3:B11"/>
    </sheetView>
  </sheetViews>
  <sheetFormatPr defaultRowHeight="15" x14ac:dyDescent="0.25"/>
  <cols>
    <col min="1" max="1" width="18.42578125" customWidth="1"/>
    <col min="2" max="2" width="118.85546875" customWidth="1"/>
  </cols>
  <sheetData>
    <row r="1" spans="1:2" x14ac:dyDescent="0.25">
      <c r="A1" s="6" t="s">
        <v>6</v>
      </c>
      <c r="B1" s="6" t="s">
        <v>1</v>
      </c>
    </row>
    <row r="3" spans="1:2" x14ac:dyDescent="0.25">
      <c r="A3" s="8"/>
    </row>
    <row r="4" spans="1:2" x14ac:dyDescent="0.25">
      <c r="A4" s="8"/>
    </row>
    <row r="5" spans="1:2" x14ac:dyDescent="0.25">
      <c r="A5" s="8"/>
    </row>
    <row r="6" spans="1:2" x14ac:dyDescent="0.25">
      <c r="A6" s="8"/>
    </row>
    <row r="7" spans="1:2" x14ac:dyDescent="0.25">
      <c r="A7" s="8"/>
    </row>
    <row r="8" spans="1:2" x14ac:dyDescent="0.25">
      <c r="A8" s="8"/>
    </row>
    <row r="9" spans="1:2" x14ac:dyDescent="0.25">
      <c r="A9" s="8"/>
    </row>
    <row r="10" spans="1:2" x14ac:dyDescent="0.25">
      <c r="A10" s="8"/>
    </row>
    <row r="11" spans="1:2" x14ac:dyDescent="0.25">
      <c r="A11" s="8"/>
    </row>
    <row r="14" spans="1:2" x14ac:dyDescent="0.25">
      <c r="A14" s="10"/>
    </row>
    <row r="15" spans="1:2" x14ac:dyDescent="0.25">
      <c r="A15" s="10"/>
      <c r="B15" s="24"/>
    </row>
    <row r="16" spans="1:2" x14ac:dyDescent="0.25">
      <c r="A16" s="10"/>
      <c r="B16" s="24"/>
    </row>
    <row r="17" spans="1:2" x14ac:dyDescent="0.25">
      <c r="A17" s="10"/>
      <c r="B17" s="24"/>
    </row>
    <row r="18" spans="1:2" x14ac:dyDescent="0.25">
      <c r="A18" s="10"/>
      <c r="B18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tabSelected="1" workbookViewId="0">
      <selection activeCell="F11" sqref="F11"/>
    </sheetView>
  </sheetViews>
  <sheetFormatPr defaultRowHeight="15" x14ac:dyDescent="0.25"/>
  <cols>
    <col min="1" max="1" width="27.42578125" style="14" customWidth="1"/>
    <col min="2" max="5" width="18.42578125" style="11" customWidth="1"/>
    <col min="6" max="6" width="59" style="14" customWidth="1"/>
    <col min="7" max="16384" width="9.140625" style="14"/>
  </cols>
  <sheetData>
    <row r="1" spans="1:6" x14ac:dyDescent="0.25">
      <c r="A1" s="13" t="s">
        <v>2</v>
      </c>
      <c r="B1" s="12" t="s">
        <v>3</v>
      </c>
      <c r="C1" s="12"/>
      <c r="D1" s="12" t="s">
        <v>18</v>
      </c>
      <c r="E1" s="12"/>
      <c r="F1" s="13" t="s">
        <v>1</v>
      </c>
    </row>
    <row r="2" spans="1:6" x14ac:dyDescent="0.25">
      <c r="C2" s="9" t="s">
        <v>0</v>
      </c>
      <c r="D2" s="9" t="s">
        <v>34</v>
      </c>
      <c r="E2" s="9" t="s">
        <v>30</v>
      </c>
    </row>
    <row r="4" spans="1:6" x14ac:dyDescent="0.25">
      <c r="A4" s="14" t="s">
        <v>102</v>
      </c>
      <c r="B4" s="11">
        <v>152373</v>
      </c>
      <c r="C4" s="15"/>
      <c r="D4" s="11">
        <f>B4*D12</f>
        <v>76230.664264093473</v>
      </c>
      <c r="E4" s="11">
        <f>B4*E12</f>
        <v>76142.335735906527</v>
      </c>
      <c r="F4" s="11"/>
    </row>
    <row r="5" spans="1:6" x14ac:dyDescent="0.25">
      <c r="A5" s="14" t="s">
        <v>95</v>
      </c>
      <c r="B5" s="11">
        <v>100000</v>
      </c>
      <c r="D5" s="11">
        <f>B5*D12</f>
        <v>50028.984310930071</v>
      </c>
      <c r="E5" s="11">
        <f>B5*E12</f>
        <v>49971.015689069929</v>
      </c>
    </row>
    <row r="6" spans="1:6" x14ac:dyDescent="0.25">
      <c r="A6" s="14" t="s">
        <v>96</v>
      </c>
      <c r="B6" s="11">
        <v>100000</v>
      </c>
      <c r="D6" s="11">
        <f>B6*D12</f>
        <v>50028.984310930071</v>
      </c>
      <c r="E6" s="11">
        <f>B6*E12</f>
        <v>49971.015689069929</v>
      </c>
      <c r="F6" s="11"/>
    </row>
    <row r="7" spans="1:6" x14ac:dyDescent="0.25">
      <c r="A7" s="14" t="s">
        <v>98</v>
      </c>
      <c r="B7" s="11">
        <v>75000</v>
      </c>
      <c r="D7" s="11">
        <f>B7*D12</f>
        <v>37521.738233197553</v>
      </c>
      <c r="E7" s="11">
        <f>B7*E12</f>
        <v>37478.261766802447</v>
      </c>
      <c r="F7" s="11"/>
    </row>
    <row r="8" spans="1:6" x14ac:dyDescent="0.25">
      <c r="A8" s="14" t="s">
        <v>101</v>
      </c>
      <c r="B8" s="11">
        <v>70000</v>
      </c>
      <c r="D8" s="11">
        <f>B8*D12</f>
        <v>35020.289017651048</v>
      </c>
      <c r="E8" s="11">
        <f>B8*E12</f>
        <v>34979.710982348952</v>
      </c>
      <c r="F8" s="11"/>
    </row>
    <row r="9" spans="1:6" x14ac:dyDescent="0.25">
      <c r="A9" s="14" t="s">
        <v>4</v>
      </c>
      <c r="B9" s="11">
        <f>'Top Sheet'!B4</f>
        <v>256981.62209307408</v>
      </c>
      <c r="D9" s="11">
        <f>B9*D12</f>
        <v>128565.29539891763</v>
      </c>
      <c r="E9" s="11">
        <f>B9*E12</f>
        <v>128416.32669415645</v>
      </c>
      <c r="F9" s="11"/>
    </row>
    <row r="11" spans="1:6" x14ac:dyDescent="0.25">
      <c r="A11" s="14" t="s">
        <v>19</v>
      </c>
      <c r="B11" s="11">
        <f>SUM(B4:B9)</f>
        <v>754354.62209307402</v>
      </c>
      <c r="D11" s="11">
        <f>SUM(D4:D9)</f>
        <v>377395.95553571987</v>
      </c>
      <c r="E11" s="11">
        <f>SUM(E4:E9)</f>
        <v>376958.66655735421</v>
      </c>
      <c r="F11" s="11"/>
    </row>
    <row r="12" spans="1:6" x14ac:dyDescent="0.25">
      <c r="D12" s="23">
        <f>'Stephen Howells'!D94</f>
        <v>0.50028984310930069</v>
      </c>
      <c r="E12" s="23">
        <f>'Steven Dicks'!D94</f>
        <v>0.49971015689069931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2"/>
  <sheetViews>
    <sheetView workbookViewId="0">
      <selection activeCell="A11" sqref="A11"/>
    </sheetView>
  </sheetViews>
  <sheetFormatPr defaultRowHeight="15" x14ac:dyDescent="0.25"/>
  <cols>
    <col min="1" max="1" width="18.28515625" customWidth="1"/>
    <col min="2" max="2" width="36.85546875" style="3" customWidth="1"/>
    <col min="3" max="3" width="18.140625" style="11" customWidth="1"/>
    <col min="4" max="4" width="73.42578125" customWidth="1"/>
    <col min="5" max="5" width="18.5703125" customWidth="1"/>
    <col min="6" max="6" width="27.5703125" customWidth="1"/>
    <col min="7" max="7" width="18.42578125" customWidth="1"/>
  </cols>
  <sheetData>
    <row r="1" spans="1:4" x14ac:dyDescent="0.25">
      <c r="A1" s="6" t="s">
        <v>0</v>
      </c>
    </row>
    <row r="3" spans="1:4" x14ac:dyDescent="0.25">
      <c r="A3" t="s">
        <v>4</v>
      </c>
      <c r="B3" s="4"/>
    </row>
    <row r="4" spans="1:4" x14ac:dyDescent="0.25">
      <c r="A4" t="s">
        <v>5</v>
      </c>
      <c r="B4" s="4"/>
    </row>
    <row r="5" spans="1:4" x14ac:dyDescent="0.25">
      <c r="A5" t="s">
        <v>10</v>
      </c>
      <c r="B5" s="4"/>
    </row>
    <row r="6" spans="1:4" x14ac:dyDescent="0.25">
      <c r="A6" t="s">
        <v>11</v>
      </c>
      <c r="B6" s="5"/>
    </row>
    <row r="8" spans="1:4" x14ac:dyDescent="0.25">
      <c r="A8" s="6" t="s">
        <v>9</v>
      </c>
    </row>
    <row r="10" spans="1:4" x14ac:dyDescent="0.25">
      <c r="A10" s="6" t="s">
        <v>6</v>
      </c>
      <c r="B10" s="7" t="s">
        <v>7</v>
      </c>
      <c r="C10" s="12" t="s">
        <v>8</v>
      </c>
      <c r="D10" s="6" t="s">
        <v>1</v>
      </c>
    </row>
    <row r="12" spans="1:4" x14ac:dyDescent="0.25">
      <c r="A12" s="10"/>
    </row>
    <row r="13" spans="1:4" x14ac:dyDescent="0.25">
      <c r="A13" s="10"/>
    </row>
    <row r="14" spans="1:4" x14ac:dyDescent="0.25">
      <c r="A14" s="10"/>
    </row>
    <row r="15" spans="1:4" x14ac:dyDescent="0.25">
      <c r="A15" s="10"/>
    </row>
    <row r="16" spans="1:4" x14ac:dyDescent="0.25">
      <c r="A16" s="10"/>
    </row>
    <row r="17" spans="1:1" x14ac:dyDescent="0.25">
      <c r="A17" s="10"/>
    </row>
    <row r="18" spans="1:1" x14ac:dyDescent="0.25">
      <c r="A18" s="10"/>
    </row>
    <row r="19" spans="1:1" x14ac:dyDescent="0.25">
      <c r="A19" s="10"/>
    </row>
    <row r="20" spans="1:1" x14ac:dyDescent="0.25">
      <c r="A20" s="10"/>
    </row>
    <row r="21" spans="1:1" x14ac:dyDescent="0.25">
      <c r="A21" s="10"/>
    </row>
    <row r="22" spans="1:1" x14ac:dyDescent="0.25">
      <c r="A22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5"/>
  <sheetViews>
    <sheetView topLeftCell="A13" workbookViewId="0">
      <selection activeCell="D26" sqref="D26"/>
    </sheetView>
  </sheetViews>
  <sheetFormatPr defaultRowHeight="15" x14ac:dyDescent="0.25"/>
  <cols>
    <col min="1" max="1" width="29.7109375" style="14" customWidth="1"/>
    <col min="2" max="2" width="66.28515625" customWidth="1"/>
    <col min="3" max="3" width="18.28515625" style="11" customWidth="1"/>
    <col min="4" max="4" width="45.5703125" style="26" customWidth="1"/>
    <col min="5" max="5" width="44.28515625" customWidth="1"/>
    <col min="6" max="6" width="23" customWidth="1"/>
  </cols>
  <sheetData>
    <row r="1" spans="1:4" x14ac:dyDescent="0.25">
      <c r="A1" s="13" t="s">
        <v>29</v>
      </c>
    </row>
    <row r="3" spans="1:4" x14ac:dyDescent="0.25">
      <c r="A3" s="14" t="s">
        <v>4</v>
      </c>
      <c r="B3" s="2">
        <f>SUM(C18:C100)</f>
        <v>128565.29717237322</v>
      </c>
    </row>
    <row r="4" spans="1:4" x14ac:dyDescent="0.25">
      <c r="A4" s="14" t="s">
        <v>5</v>
      </c>
      <c r="B4" s="2">
        <f>SUM(Assets!D4:D8)</f>
        <v>248830.66013680224</v>
      </c>
    </row>
    <row r="5" spans="1:4" x14ac:dyDescent="0.25">
      <c r="A5" s="14" t="s">
        <v>10</v>
      </c>
      <c r="B5" s="2">
        <f>B3+B4</f>
        <v>377395.95730917546</v>
      </c>
    </row>
    <row r="6" spans="1:4" x14ac:dyDescent="0.25">
      <c r="A6" s="14" t="s">
        <v>28</v>
      </c>
      <c r="B6" s="26"/>
    </row>
    <row r="7" spans="1:4" x14ac:dyDescent="0.25">
      <c r="B7" s="2"/>
    </row>
    <row r="8" spans="1:4" x14ac:dyDescent="0.25">
      <c r="A8" s="14" t="s">
        <v>22</v>
      </c>
      <c r="B8" s="2"/>
    </row>
    <row r="9" spans="1:4" x14ac:dyDescent="0.25">
      <c r="A9" s="14" t="s">
        <v>24</v>
      </c>
      <c r="B9" s="26"/>
    </row>
    <row r="10" spans="1:4" x14ac:dyDescent="0.25">
      <c r="A10" s="14" t="s">
        <v>23</v>
      </c>
      <c r="B10" s="2"/>
    </row>
    <row r="11" spans="1:4" x14ac:dyDescent="0.25">
      <c r="A11" s="31" t="s">
        <v>25</v>
      </c>
      <c r="B11" s="32"/>
      <c r="C11" s="30"/>
      <c r="D11" s="33"/>
    </row>
    <row r="12" spans="1:4" x14ac:dyDescent="0.25">
      <c r="B12" s="1"/>
    </row>
    <row r="14" spans="1:4" x14ac:dyDescent="0.25">
      <c r="A14" s="13" t="s">
        <v>1</v>
      </c>
      <c r="B14" s="6"/>
      <c r="C14" s="12"/>
      <c r="D14" s="34"/>
    </row>
    <row r="15" spans="1:4" x14ac:dyDescent="0.25">
      <c r="A15" s="13"/>
      <c r="B15" s="6"/>
      <c r="C15" s="12"/>
      <c r="D15" s="34"/>
    </row>
    <row r="16" spans="1:4" x14ac:dyDescent="0.25">
      <c r="A16" s="13" t="s">
        <v>6</v>
      </c>
      <c r="B16" s="6" t="s">
        <v>7</v>
      </c>
      <c r="C16" s="12" t="s">
        <v>8</v>
      </c>
      <c r="D16" s="34" t="s">
        <v>1</v>
      </c>
    </row>
    <row r="18" spans="1:6" x14ac:dyDescent="0.25">
      <c r="A18" s="10">
        <v>41879</v>
      </c>
      <c r="B18" t="s">
        <v>33</v>
      </c>
      <c r="C18" s="11">
        <v>66566.789999999994</v>
      </c>
      <c r="D18" s="26">
        <v>0.52376</v>
      </c>
      <c r="E18" s="26"/>
      <c r="F18" s="26"/>
    </row>
    <row r="19" spans="1:6" x14ac:dyDescent="0.25">
      <c r="A19" s="10">
        <v>41883</v>
      </c>
      <c r="B19" t="s">
        <v>40</v>
      </c>
      <c r="C19" s="11">
        <f>3.02*D18</f>
        <v>1.5817551999999999</v>
      </c>
      <c r="E19" s="26"/>
      <c r="F19" s="26"/>
    </row>
    <row r="20" spans="1:6" x14ac:dyDescent="0.25">
      <c r="A20" s="10">
        <v>41911</v>
      </c>
      <c r="B20" t="s">
        <v>35</v>
      </c>
      <c r="C20" s="11">
        <f>-3511.89*D18</f>
        <v>-1839.3875063999999</v>
      </c>
      <c r="E20" s="26"/>
      <c r="F20" s="26"/>
    </row>
    <row r="21" spans="1:6" x14ac:dyDescent="0.25">
      <c r="A21" s="10">
        <v>41913</v>
      </c>
      <c r="B21" t="s">
        <v>41</v>
      </c>
      <c r="C21" s="11">
        <f>26.06*D18</f>
        <v>13.649185599999999</v>
      </c>
      <c r="E21" s="26"/>
      <c r="F21" s="26"/>
    </row>
    <row r="22" spans="1:6" x14ac:dyDescent="0.25">
      <c r="A22" s="10">
        <v>41944</v>
      </c>
      <c r="B22" t="s">
        <v>42</v>
      </c>
      <c r="C22" s="11">
        <f>26.25*D18</f>
        <v>13.748699999999999</v>
      </c>
      <c r="E22" s="26"/>
      <c r="F22" s="26"/>
    </row>
    <row r="23" spans="1:6" x14ac:dyDescent="0.25">
      <c r="A23" s="10">
        <v>41974</v>
      </c>
      <c r="B23" t="s">
        <v>43</v>
      </c>
      <c r="C23" s="11">
        <f>25.41*D18</f>
        <v>13.308741599999999</v>
      </c>
      <c r="E23" s="26"/>
      <c r="F23" s="26"/>
    </row>
    <row r="24" spans="1:6" x14ac:dyDescent="0.25">
      <c r="A24" s="36">
        <v>41978</v>
      </c>
      <c r="B24" s="37" t="s">
        <v>36</v>
      </c>
      <c r="C24" s="38">
        <v>3000</v>
      </c>
      <c r="D24" s="39">
        <v>0.52266000000000001</v>
      </c>
      <c r="E24" s="39" t="s">
        <v>59</v>
      </c>
      <c r="F24" s="26"/>
    </row>
    <row r="25" spans="1:6" x14ac:dyDescent="0.25">
      <c r="A25" s="10">
        <v>41991</v>
      </c>
      <c r="B25" t="s">
        <v>37</v>
      </c>
      <c r="C25" s="11">
        <f>-1433*D24</f>
        <v>-748.97177999999997</v>
      </c>
      <c r="E25" s="26"/>
      <c r="F25" s="26"/>
    </row>
    <row r="26" spans="1:6" x14ac:dyDescent="0.25">
      <c r="A26" s="10">
        <v>41991</v>
      </c>
      <c r="B26" t="s">
        <v>38</v>
      </c>
      <c r="C26" s="11">
        <f>-17.5*D24</f>
        <v>-9.1465499999999995</v>
      </c>
      <c r="E26" s="26"/>
      <c r="F26" s="26"/>
    </row>
    <row r="27" spans="1:6" x14ac:dyDescent="0.25">
      <c r="A27" s="10">
        <v>41991</v>
      </c>
      <c r="B27" t="s">
        <v>39</v>
      </c>
      <c r="C27" s="11">
        <f>-124950*D24</f>
        <v>-65306.366999999998</v>
      </c>
      <c r="E27" s="26"/>
      <c r="F27" s="26"/>
    </row>
    <row r="28" spans="1:6" x14ac:dyDescent="0.25">
      <c r="A28" s="28">
        <v>42005</v>
      </c>
      <c r="B28" s="29" t="s">
        <v>44</v>
      </c>
      <c r="C28" s="30">
        <f>15.25*D24</f>
        <v>7.9705650000000006</v>
      </c>
      <c r="D28" s="35"/>
      <c r="E28" s="26"/>
      <c r="F28" s="26"/>
    </row>
    <row r="29" spans="1:6" x14ac:dyDescent="0.25">
      <c r="A29" s="10">
        <v>42011</v>
      </c>
      <c r="B29" s="29" t="s">
        <v>37</v>
      </c>
      <c r="C29" s="11">
        <f>-1433*D24</f>
        <v>-748.97177999999997</v>
      </c>
    </row>
    <row r="30" spans="1:6" x14ac:dyDescent="0.25">
      <c r="A30" s="10">
        <v>42036</v>
      </c>
      <c r="B30" s="29" t="s">
        <v>45</v>
      </c>
      <c r="C30" s="11">
        <f>0.45*D24</f>
        <v>0.23519700000000002</v>
      </c>
    </row>
    <row r="31" spans="1:6" x14ac:dyDescent="0.25">
      <c r="A31" s="10">
        <v>42064</v>
      </c>
      <c r="B31" s="29" t="s">
        <v>46</v>
      </c>
      <c r="C31" s="11">
        <f>0.35*D24</f>
        <v>0.18293099999999998</v>
      </c>
    </row>
    <row r="32" spans="1:6" x14ac:dyDescent="0.25">
      <c r="A32" s="10">
        <v>42095</v>
      </c>
      <c r="B32" s="29" t="s">
        <v>47</v>
      </c>
      <c r="C32" s="11">
        <f>0.39*D24</f>
        <v>0.2038374</v>
      </c>
    </row>
    <row r="33" spans="1:3" x14ac:dyDescent="0.25">
      <c r="A33" s="10">
        <v>42125</v>
      </c>
      <c r="B33" s="29" t="s">
        <v>48</v>
      </c>
      <c r="C33" s="11">
        <f>0.38*D24</f>
        <v>0.1986108</v>
      </c>
    </row>
    <row r="34" spans="1:3" x14ac:dyDescent="0.25">
      <c r="A34" s="10">
        <v>42156</v>
      </c>
      <c r="B34" s="29" t="s">
        <v>47</v>
      </c>
      <c r="C34" s="11">
        <f>0.39*D24</f>
        <v>0.2038374</v>
      </c>
    </row>
    <row r="35" spans="1:3" x14ac:dyDescent="0.25">
      <c r="A35" s="10">
        <v>42186</v>
      </c>
      <c r="B35" s="29" t="s">
        <v>48</v>
      </c>
      <c r="C35" s="11">
        <f>0.38*D24</f>
        <v>0.1986108</v>
      </c>
    </row>
    <row r="36" spans="1:3" x14ac:dyDescent="0.25">
      <c r="A36" s="10">
        <v>42217</v>
      </c>
      <c r="B36" s="29" t="s">
        <v>47</v>
      </c>
      <c r="C36" s="11">
        <f>0.39*D24</f>
        <v>0.2038374</v>
      </c>
    </row>
    <row r="37" spans="1:3" x14ac:dyDescent="0.25">
      <c r="A37" s="10">
        <v>42248</v>
      </c>
      <c r="B37" s="29" t="s">
        <v>47</v>
      </c>
      <c r="C37" s="11">
        <f>0.39*D24</f>
        <v>0.2038374</v>
      </c>
    </row>
    <row r="38" spans="1:3" x14ac:dyDescent="0.25">
      <c r="A38" s="10">
        <v>42278</v>
      </c>
      <c r="B38" s="29" t="s">
        <v>48</v>
      </c>
      <c r="C38" s="11">
        <f>0.39*D24</f>
        <v>0.2038374</v>
      </c>
    </row>
    <row r="39" spans="1:3" x14ac:dyDescent="0.25">
      <c r="A39" s="10">
        <v>42278</v>
      </c>
      <c r="B39" s="29" t="s">
        <v>79</v>
      </c>
      <c r="C39" s="11">
        <f>-360*D24</f>
        <v>-188.1576</v>
      </c>
    </row>
    <row r="40" spans="1:3" x14ac:dyDescent="0.25">
      <c r="A40" s="10">
        <v>42309</v>
      </c>
      <c r="B40" s="29" t="s">
        <v>50</v>
      </c>
      <c r="C40" s="11">
        <f>0.32*D24</f>
        <v>0.16725120000000002</v>
      </c>
    </row>
    <row r="41" spans="1:3" x14ac:dyDescent="0.25">
      <c r="A41" s="10">
        <v>42339</v>
      </c>
      <c r="B41" s="29" t="s">
        <v>51</v>
      </c>
      <c r="C41" s="11">
        <f>0.31*D24</f>
        <v>0.16202459999999999</v>
      </c>
    </row>
    <row r="42" spans="1:3" x14ac:dyDescent="0.25">
      <c r="A42" s="10">
        <v>42370</v>
      </c>
      <c r="B42" s="29" t="s">
        <v>50</v>
      </c>
      <c r="C42" s="11">
        <f>0.32*D24</f>
        <v>0.16725120000000002</v>
      </c>
    </row>
    <row r="43" spans="1:3" x14ac:dyDescent="0.25">
      <c r="A43" s="10">
        <v>42373</v>
      </c>
      <c r="B43" s="29" t="s">
        <v>79</v>
      </c>
      <c r="C43" s="11">
        <f>-360*D24</f>
        <v>-188.1576</v>
      </c>
    </row>
    <row r="44" spans="1:3" x14ac:dyDescent="0.25">
      <c r="A44" s="10">
        <v>42401</v>
      </c>
      <c r="B44" s="29" t="s">
        <v>52</v>
      </c>
      <c r="C44" s="11">
        <f>0.25*D24</f>
        <v>0.130665</v>
      </c>
    </row>
    <row r="45" spans="1:3" x14ac:dyDescent="0.25">
      <c r="A45" s="10">
        <v>42430</v>
      </c>
      <c r="B45" s="29" t="s">
        <v>53</v>
      </c>
      <c r="C45" s="11">
        <f>0.22*D24</f>
        <v>0.11498520000000001</v>
      </c>
    </row>
    <row r="46" spans="1:3" x14ac:dyDescent="0.25">
      <c r="A46" s="10">
        <v>42461</v>
      </c>
      <c r="B46" s="29" t="s">
        <v>54</v>
      </c>
      <c r="C46" s="11">
        <f>0.24*D24</f>
        <v>0.12543840000000001</v>
      </c>
    </row>
    <row r="47" spans="1:3" x14ac:dyDescent="0.25">
      <c r="A47" s="10">
        <v>42461</v>
      </c>
      <c r="B47" s="29" t="s">
        <v>79</v>
      </c>
      <c r="C47" s="11">
        <f>-360*D24</f>
        <v>-188.1576</v>
      </c>
    </row>
    <row r="48" spans="1:3" x14ac:dyDescent="0.25">
      <c r="A48" s="10">
        <v>42491</v>
      </c>
      <c r="B48" s="29" t="s">
        <v>55</v>
      </c>
      <c r="C48" s="11">
        <f>0.16*D24</f>
        <v>8.3625600000000008E-2</v>
      </c>
    </row>
    <row r="49" spans="1:5" x14ac:dyDescent="0.25">
      <c r="A49" s="10">
        <v>42506</v>
      </c>
      <c r="B49" s="29" t="s">
        <v>56</v>
      </c>
      <c r="C49" s="11">
        <f>-80.64*D24</f>
        <v>-42.147302400000001</v>
      </c>
    </row>
    <row r="50" spans="1:5" x14ac:dyDescent="0.25">
      <c r="A50" s="36">
        <v>42515</v>
      </c>
      <c r="B50" s="40" t="s">
        <v>57</v>
      </c>
      <c r="C50" s="38">
        <f>151056.5*D24</f>
        <v>78951.190289999999</v>
      </c>
      <c r="D50" s="39" t="s">
        <v>58</v>
      </c>
    </row>
    <row r="51" spans="1:5" x14ac:dyDescent="0.25">
      <c r="A51" s="36">
        <v>42517</v>
      </c>
      <c r="B51" s="40" t="s">
        <v>36</v>
      </c>
      <c r="C51" s="38">
        <v>22500</v>
      </c>
      <c r="D51" s="39">
        <f>101811.56/196746.4</f>
        <v>0.51747610121455845</v>
      </c>
      <c r="E51" s="40" t="s">
        <v>60</v>
      </c>
    </row>
    <row r="52" spans="1:5" x14ac:dyDescent="0.25">
      <c r="A52" s="10">
        <v>42522</v>
      </c>
      <c r="B52" s="29" t="s">
        <v>61</v>
      </c>
      <c r="C52" s="11">
        <f>8.94*D51</f>
        <v>4.6262363448581523</v>
      </c>
    </row>
    <row r="53" spans="1:5" x14ac:dyDescent="0.25">
      <c r="A53" s="10">
        <v>42552</v>
      </c>
      <c r="B53" s="29" t="s">
        <v>62</v>
      </c>
      <c r="C53" s="11">
        <f>40.43*D51</f>
        <v>20.921558772104596</v>
      </c>
    </row>
    <row r="54" spans="1:5" x14ac:dyDescent="0.25">
      <c r="A54" s="10">
        <v>42552</v>
      </c>
      <c r="B54" s="29" t="s">
        <v>79</v>
      </c>
      <c r="C54" s="11">
        <f>-360*D51</f>
        <v>-186.29139643724105</v>
      </c>
    </row>
    <row r="55" spans="1:5" x14ac:dyDescent="0.25">
      <c r="A55" s="10">
        <v>42573</v>
      </c>
      <c r="B55" s="29" t="s">
        <v>63</v>
      </c>
      <c r="C55" s="11">
        <f>90*D51</f>
        <v>46.572849109310262</v>
      </c>
    </row>
    <row r="56" spans="1:5" x14ac:dyDescent="0.25">
      <c r="A56" s="10">
        <v>42583</v>
      </c>
      <c r="B56" s="29" t="s">
        <v>64</v>
      </c>
      <c r="C56" s="11">
        <f>41.71*D51</f>
        <v>21.583928181659232</v>
      </c>
    </row>
    <row r="57" spans="1:5" x14ac:dyDescent="0.25">
      <c r="A57" s="36">
        <v>42607</v>
      </c>
      <c r="B57" s="40" t="s">
        <v>103</v>
      </c>
      <c r="C57" s="38">
        <f>-152373*D51</f>
        <v>-78849.385970365911</v>
      </c>
      <c r="D57" s="39"/>
      <c r="E57" s="40" t="s">
        <v>104</v>
      </c>
    </row>
    <row r="58" spans="1:5" x14ac:dyDescent="0.25">
      <c r="A58" s="10">
        <v>42614</v>
      </c>
      <c r="B58" s="29" t="s">
        <v>65</v>
      </c>
      <c r="C58" s="11">
        <f>20.66*D51</f>
        <v>10.691056251092778</v>
      </c>
    </row>
    <row r="59" spans="1:5" x14ac:dyDescent="0.25">
      <c r="A59" s="10">
        <v>42644</v>
      </c>
      <c r="B59" s="29" t="s">
        <v>66</v>
      </c>
      <c r="C59" s="11">
        <f>5.45*D51</f>
        <v>2.8202447516193438</v>
      </c>
    </row>
    <row r="60" spans="1:5" x14ac:dyDescent="0.25">
      <c r="A60" s="10">
        <v>42646</v>
      </c>
      <c r="B60" s="29" t="s">
        <v>79</v>
      </c>
      <c r="C60" s="11">
        <f>-360*D51</f>
        <v>-186.29139643724105</v>
      </c>
    </row>
    <row r="61" spans="1:5" x14ac:dyDescent="0.25">
      <c r="A61" s="10">
        <v>42675</v>
      </c>
      <c r="B61" s="29" t="s">
        <v>67</v>
      </c>
      <c r="C61" s="11">
        <f>4.44*D51</f>
        <v>2.2975938893926395</v>
      </c>
    </row>
    <row r="62" spans="1:5" x14ac:dyDescent="0.25">
      <c r="A62" s="10">
        <v>42705</v>
      </c>
      <c r="B62" s="29" t="s">
        <v>68</v>
      </c>
      <c r="C62" s="11">
        <f>3.61*D51</f>
        <v>1.8680887253845559</v>
      </c>
    </row>
    <row r="63" spans="1:5" x14ac:dyDescent="0.25">
      <c r="A63" s="10">
        <v>42736</v>
      </c>
      <c r="B63" s="29" t="s">
        <v>69</v>
      </c>
      <c r="C63" s="11">
        <f>3.73*D51</f>
        <v>1.930185857530303</v>
      </c>
    </row>
    <row r="64" spans="1:5" x14ac:dyDescent="0.25">
      <c r="A64" s="10">
        <v>42738</v>
      </c>
      <c r="B64" s="29" t="s">
        <v>79</v>
      </c>
      <c r="C64" s="11">
        <f>-360*D51</f>
        <v>-186.29139643724105</v>
      </c>
    </row>
    <row r="65" spans="1:5" x14ac:dyDescent="0.25">
      <c r="A65" s="10">
        <v>42765</v>
      </c>
      <c r="B65" s="29" t="s">
        <v>70</v>
      </c>
      <c r="C65" s="11">
        <f>-2338.74*D51</f>
        <v>-1210.2420569545363</v>
      </c>
    </row>
    <row r="66" spans="1:5" x14ac:dyDescent="0.25">
      <c r="A66" s="10">
        <v>42767</v>
      </c>
      <c r="B66" s="29" t="s">
        <v>71</v>
      </c>
      <c r="C66" s="11">
        <f>3.69*D51</f>
        <v>1.9094868134817207</v>
      </c>
    </row>
    <row r="67" spans="1:5" x14ac:dyDescent="0.25">
      <c r="A67" s="10">
        <v>42795</v>
      </c>
      <c r="B67" s="29" t="s">
        <v>72</v>
      </c>
      <c r="C67" s="11">
        <f>3.16*D51</f>
        <v>1.6352244798380047</v>
      </c>
    </row>
    <row r="68" spans="1:5" x14ac:dyDescent="0.25">
      <c r="A68" s="36">
        <v>42825</v>
      </c>
      <c r="B68" s="40" t="s">
        <v>36</v>
      </c>
      <c r="C68" s="38">
        <v>10000</v>
      </c>
      <c r="D68" s="39"/>
      <c r="E68" s="40" t="s">
        <v>73</v>
      </c>
    </row>
    <row r="69" spans="1:5" x14ac:dyDescent="0.25">
      <c r="A69" s="36">
        <v>42825</v>
      </c>
      <c r="B69" s="40" t="s">
        <v>36</v>
      </c>
      <c r="C69" s="38">
        <v>10000</v>
      </c>
      <c r="D69" s="39">
        <f>41309.91/81180.48</f>
        <v>0.50886506214301774</v>
      </c>
      <c r="E69" s="40" t="s">
        <v>73</v>
      </c>
    </row>
    <row r="70" spans="1:5" x14ac:dyDescent="0.25">
      <c r="A70" s="10">
        <v>42826</v>
      </c>
      <c r="B70" s="29" t="s">
        <v>74</v>
      </c>
      <c r="C70" s="11">
        <f>3.6*D69</f>
        <v>1.831914223714864</v>
      </c>
    </row>
    <row r="71" spans="1:5" x14ac:dyDescent="0.25">
      <c r="A71" s="10">
        <v>42828</v>
      </c>
      <c r="B71" s="29" t="s">
        <v>79</v>
      </c>
      <c r="C71" s="11">
        <f>-360*D69</f>
        <v>-183.1914223714864</v>
      </c>
    </row>
    <row r="72" spans="1:5" x14ac:dyDescent="0.25">
      <c r="A72" s="10">
        <v>42856</v>
      </c>
      <c r="B72" s="29" t="s">
        <v>75</v>
      </c>
      <c r="C72" s="11">
        <f>6.64*D69</f>
        <v>3.3788640126296379</v>
      </c>
    </row>
    <row r="73" spans="1:5" x14ac:dyDescent="0.25">
      <c r="A73" s="36">
        <v>42885</v>
      </c>
      <c r="B73" s="40" t="s">
        <v>36</v>
      </c>
      <c r="C73" s="38">
        <v>24500</v>
      </c>
      <c r="D73" s="39">
        <f>65631.93/129830.72</f>
        <v>0.50551926385373191</v>
      </c>
      <c r="E73" s="40" t="s">
        <v>76</v>
      </c>
    </row>
    <row r="74" spans="1:5" x14ac:dyDescent="0.25">
      <c r="A74" s="10">
        <v>42887</v>
      </c>
      <c r="B74" s="29" t="s">
        <v>77</v>
      </c>
      <c r="C74" s="11">
        <f>7.13*D73</f>
        <v>3.6043523512771083</v>
      </c>
    </row>
    <row r="75" spans="1:5" x14ac:dyDescent="0.25">
      <c r="A75" s="10">
        <v>42900</v>
      </c>
      <c r="B75" s="29" t="s">
        <v>78</v>
      </c>
      <c r="C75" s="11">
        <f>-29*D73</f>
        <v>-14.660058651758225</v>
      </c>
    </row>
    <row r="76" spans="1:5" x14ac:dyDescent="0.25">
      <c r="A76" s="10">
        <v>42917</v>
      </c>
      <c r="B76" s="29" t="s">
        <v>80</v>
      </c>
      <c r="C76" s="11">
        <f>10.67*D73</f>
        <v>5.3938905453193193</v>
      </c>
    </row>
    <row r="77" spans="1:5" x14ac:dyDescent="0.25">
      <c r="A77" s="10">
        <v>42919</v>
      </c>
      <c r="B77" s="29" t="s">
        <v>79</v>
      </c>
      <c r="C77" s="11">
        <f>-360*D73</f>
        <v>-181.98693498734349</v>
      </c>
    </row>
    <row r="78" spans="1:5" x14ac:dyDescent="0.25">
      <c r="A78" s="10">
        <v>42919</v>
      </c>
      <c r="B78" s="29" t="s">
        <v>81</v>
      </c>
      <c r="C78" s="11">
        <f>-997*D73</f>
        <v>-504.00270606217072</v>
      </c>
    </row>
    <row r="79" spans="1:5" x14ac:dyDescent="0.25">
      <c r="A79" s="10">
        <v>42948</v>
      </c>
      <c r="B79" s="29" t="s">
        <v>82</v>
      </c>
      <c r="C79" s="11">
        <f>10.92*D73</f>
        <v>5.5202703612827522</v>
      </c>
    </row>
    <row r="80" spans="1:5" x14ac:dyDescent="0.25">
      <c r="A80" s="10">
        <v>42979</v>
      </c>
      <c r="B80" s="29" t="s">
        <v>83</v>
      </c>
      <c r="C80" s="11">
        <f>10.91*D73</f>
        <v>5.5152151686442155</v>
      </c>
    </row>
    <row r="81" spans="1:5" x14ac:dyDescent="0.25">
      <c r="A81" s="36">
        <v>43007</v>
      </c>
      <c r="B81" s="40" t="s">
        <v>92</v>
      </c>
      <c r="C81" s="38">
        <f>-100000*D73</f>
        <v>-50551.92638537319</v>
      </c>
      <c r="D81" s="39"/>
      <c r="E81" s="40" t="s">
        <v>91</v>
      </c>
    </row>
    <row r="82" spans="1:5" x14ac:dyDescent="0.25">
      <c r="A82" s="10">
        <v>43009</v>
      </c>
      <c r="B82" s="29" t="s">
        <v>84</v>
      </c>
      <c r="C82" s="11">
        <f>10.02*D73</f>
        <v>5.0653030238143932</v>
      </c>
    </row>
    <row r="83" spans="1:5" x14ac:dyDescent="0.25">
      <c r="A83" s="10">
        <v>43010</v>
      </c>
      <c r="B83" s="29" t="s">
        <v>85</v>
      </c>
      <c r="C83" s="11">
        <f>-330*D73</f>
        <v>-166.82135707173154</v>
      </c>
    </row>
    <row r="84" spans="1:5" x14ac:dyDescent="0.25">
      <c r="A84" s="10">
        <v>43040</v>
      </c>
      <c r="B84" s="29" t="s">
        <v>86</v>
      </c>
      <c r="C84" s="11">
        <f>2.39*D73</f>
        <v>1.2081910406104193</v>
      </c>
    </row>
    <row r="85" spans="1:5" x14ac:dyDescent="0.25">
      <c r="A85" s="36">
        <v>43047</v>
      </c>
      <c r="B85" s="40" t="s">
        <v>87</v>
      </c>
      <c r="C85" s="38">
        <f>443579.08/2</f>
        <v>221789.54</v>
      </c>
      <c r="D85" s="39">
        <f>236028.38/471745.84</f>
        <v>0.50032954185669132</v>
      </c>
      <c r="E85" s="40" t="s">
        <v>88</v>
      </c>
    </row>
    <row r="86" spans="1:5" x14ac:dyDescent="0.25">
      <c r="A86" s="10">
        <v>43070</v>
      </c>
      <c r="B86" s="29" t="s">
        <v>89</v>
      </c>
      <c r="C86" s="11">
        <f>30.27*D85</f>
        <v>15.144975232002047</v>
      </c>
    </row>
    <row r="87" spans="1:5" x14ac:dyDescent="0.25">
      <c r="A87" s="10">
        <v>43082</v>
      </c>
      <c r="B87" s="29" t="s">
        <v>90</v>
      </c>
      <c r="C87" s="11">
        <f>15.51*D85</f>
        <v>7.7601111941972825</v>
      </c>
    </row>
    <row r="88" spans="1:5" x14ac:dyDescent="0.25">
      <c r="A88" s="10">
        <v>43082</v>
      </c>
      <c r="B88" s="29" t="s">
        <v>85</v>
      </c>
      <c r="C88" s="11">
        <f>-330*D85</f>
        <v>-165.10874881270814</v>
      </c>
    </row>
    <row r="89" spans="1:5" x14ac:dyDescent="0.25">
      <c r="A89" s="36">
        <v>43083</v>
      </c>
      <c r="B89" s="40" t="s">
        <v>92</v>
      </c>
      <c r="C89" s="38">
        <f>-100000*D85</f>
        <v>-50032.954185669128</v>
      </c>
      <c r="D89" s="39"/>
      <c r="E89" s="40" t="s">
        <v>91</v>
      </c>
    </row>
    <row r="90" spans="1:5" x14ac:dyDescent="0.25">
      <c r="A90" s="10">
        <v>43084</v>
      </c>
      <c r="B90" s="29" t="s">
        <v>93</v>
      </c>
      <c r="C90" s="11">
        <f>-150*D85</f>
        <v>-75.049431278503704</v>
      </c>
    </row>
    <row r="91" spans="1:5" x14ac:dyDescent="0.25">
      <c r="A91" s="10">
        <v>43091</v>
      </c>
      <c r="B91" s="29" t="s">
        <v>94</v>
      </c>
    </row>
    <row r="92" spans="1:5" x14ac:dyDescent="0.25">
      <c r="A92" s="36">
        <v>43123</v>
      </c>
      <c r="B92" s="40" t="s">
        <v>97</v>
      </c>
      <c r="C92" s="38">
        <f>-75000*D85</f>
        <v>-37524.715639251852</v>
      </c>
      <c r="D92" s="39"/>
      <c r="E92" s="40" t="s">
        <v>91</v>
      </c>
    </row>
    <row r="93" spans="1:5" x14ac:dyDescent="0.25">
      <c r="A93" s="36">
        <v>43182</v>
      </c>
      <c r="B93" s="40" t="s">
        <v>99</v>
      </c>
      <c r="C93" s="38">
        <f>-70000*D85</f>
        <v>-35023.067929968391</v>
      </c>
      <c r="D93" s="39"/>
      <c r="E93" s="40" t="s">
        <v>91</v>
      </c>
    </row>
    <row r="94" spans="1:5" x14ac:dyDescent="0.25">
      <c r="A94" s="36">
        <v>43193</v>
      </c>
      <c r="B94" s="40" t="s">
        <v>36</v>
      </c>
      <c r="C94" s="38">
        <v>15500</v>
      </c>
      <c r="D94" s="39">
        <f>128730.39/257311.62</f>
        <v>0.50028984310930069</v>
      </c>
      <c r="E94" s="40" t="s">
        <v>100</v>
      </c>
    </row>
    <row r="95" spans="1:5" x14ac:dyDescent="0.25">
      <c r="A95" s="10">
        <v>43195</v>
      </c>
      <c r="B95" s="29" t="s">
        <v>85</v>
      </c>
      <c r="C95" s="11">
        <f>-330*D94</f>
        <v>-165.09564822606922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5"/>
  <sheetViews>
    <sheetView workbookViewId="0">
      <selection activeCell="E24" sqref="E24"/>
    </sheetView>
  </sheetViews>
  <sheetFormatPr defaultRowHeight="15" x14ac:dyDescent="0.25"/>
  <cols>
    <col min="1" max="1" width="28.5703125" style="14" customWidth="1"/>
    <col min="2" max="2" width="63" customWidth="1"/>
    <col min="3" max="3" width="18.5703125" style="11" customWidth="1"/>
    <col min="4" max="4" width="45.42578125" style="26" customWidth="1"/>
    <col min="5" max="5" width="43.140625" customWidth="1"/>
  </cols>
  <sheetData>
    <row r="1" spans="1:4" x14ac:dyDescent="0.25">
      <c r="A1" s="13" t="s">
        <v>30</v>
      </c>
    </row>
    <row r="3" spans="1:4" x14ac:dyDescent="0.25">
      <c r="A3" s="14" t="s">
        <v>4</v>
      </c>
      <c r="B3" s="2">
        <f>SUM(C18:C100)</f>
        <v>128416.32492070088</v>
      </c>
    </row>
    <row r="4" spans="1:4" x14ac:dyDescent="0.25">
      <c r="A4" s="14" t="s">
        <v>5</v>
      </c>
      <c r="B4" s="2">
        <f>SUM(Assets!E4:E8)</f>
        <v>248542.33986319776</v>
      </c>
    </row>
    <row r="5" spans="1:4" x14ac:dyDescent="0.25">
      <c r="A5" s="14" t="s">
        <v>10</v>
      </c>
      <c r="B5" s="2">
        <f>SUM(B3:B4)</f>
        <v>376958.66478389862</v>
      </c>
    </row>
    <row r="6" spans="1:4" x14ac:dyDescent="0.25">
      <c r="A6" s="14" t="s">
        <v>28</v>
      </c>
      <c r="B6" s="26"/>
    </row>
    <row r="7" spans="1:4" x14ac:dyDescent="0.25">
      <c r="B7" s="1"/>
    </row>
    <row r="8" spans="1:4" x14ac:dyDescent="0.25">
      <c r="A8" s="14" t="s">
        <v>22</v>
      </c>
      <c r="B8" s="2"/>
    </row>
    <row r="9" spans="1:4" x14ac:dyDescent="0.25">
      <c r="A9" s="14" t="s">
        <v>24</v>
      </c>
      <c r="B9" s="26"/>
    </row>
    <row r="10" spans="1:4" x14ac:dyDescent="0.25">
      <c r="A10" s="14" t="s">
        <v>23</v>
      </c>
      <c r="B10" s="2"/>
    </row>
    <row r="11" spans="1:4" x14ac:dyDescent="0.25">
      <c r="A11" s="27" t="s">
        <v>25</v>
      </c>
      <c r="B11" s="2"/>
    </row>
    <row r="12" spans="1:4" x14ac:dyDescent="0.25">
      <c r="A12" s="27"/>
      <c r="B12" s="2"/>
    </row>
    <row r="14" spans="1:4" x14ac:dyDescent="0.25">
      <c r="A14" s="13" t="s">
        <v>1</v>
      </c>
      <c r="B14" s="6"/>
      <c r="C14" s="12"/>
      <c r="D14" s="34"/>
    </row>
    <row r="15" spans="1:4" x14ac:dyDescent="0.25">
      <c r="A15" s="13"/>
      <c r="B15" s="6"/>
      <c r="C15" s="12"/>
      <c r="D15" s="34"/>
    </row>
    <row r="16" spans="1:4" x14ac:dyDescent="0.25">
      <c r="A16" s="13" t="s">
        <v>6</v>
      </c>
      <c r="B16" s="6" t="s">
        <v>7</v>
      </c>
      <c r="C16" s="12" t="s">
        <v>8</v>
      </c>
      <c r="D16" s="34" t="s">
        <v>1</v>
      </c>
    </row>
    <row r="17" spans="1:6" x14ac:dyDescent="0.25">
      <c r="A17" s="13"/>
      <c r="B17" s="6"/>
      <c r="C17" s="12"/>
      <c r="D17" s="34"/>
    </row>
    <row r="18" spans="1:6" x14ac:dyDescent="0.25">
      <c r="A18" s="10">
        <v>41880</v>
      </c>
      <c r="B18" t="s">
        <v>33</v>
      </c>
      <c r="C18" s="11">
        <v>60527.83</v>
      </c>
      <c r="D18" s="26">
        <v>0.47624</v>
      </c>
    </row>
    <row r="19" spans="1:6" x14ac:dyDescent="0.25">
      <c r="A19" s="10">
        <v>41883</v>
      </c>
      <c r="B19" t="s">
        <v>40</v>
      </c>
      <c r="C19" s="11">
        <f>3.02*D18</f>
        <v>1.4382448000000001</v>
      </c>
      <c r="E19" s="26"/>
      <c r="F19" s="26"/>
    </row>
    <row r="20" spans="1:6" x14ac:dyDescent="0.25">
      <c r="A20" s="10">
        <v>41911</v>
      </c>
      <c r="B20" t="s">
        <v>35</v>
      </c>
      <c r="C20" s="11">
        <f>-3511.89*D18</f>
        <v>-1672.5024936</v>
      </c>
    </row>
    <row r="21" spans="1:6" x14ac:dyDescent="0.25">
      <c r="A21" s="10">
        <v>41913</v>
      </c>
      <c r="B21" t="s">
        <v>41</v>
      </c>
      <c r="C21" s="11">
        <f>26.06*D18</f>
        <v>12.4108144</v>
      </c>
    </row>
    <row r="22" spans="1:6" x14ac:dyDescent="0.25">
      <c r="A22" s="10">
        <v>41944</v>
      </c>
      <c r="B22" t="s">
        <v>42</v>
      </c>
      <c r="C22" s="11">
        <f>26.25*D18</f>
        <v>12.501300000000001</v>
      </c>
    </row>
    <row r="23" spans="1:6" x14ac:dyDescent="0.25">
      <c r="A23" s="10">
        <v>41974</v>
      </c>
      <c r="B23" t="s">
        <v>43</v>
      </c>
      <c r="C23" s="11">
        <f>25.41*D18</f>
        <v>12.101258400000001</v>
      </c>
    </row>
    <row r="24" spans="1:6" x14ac:dyDescent="0.25">
      <c r="A24" s="36">
        <v>41978</v>
      </c>
      <c r="B24" s="37" t="s">
        <v>36</v>
      </c>
      <c r="C24" s="38">
        <v>3000</v>
      </c>
      <c r="D24" s="39">
        <v>0.47733999999999999</v>
      </c>
      <c r="E24" s="40" t="s">
        <v>59</v>
      </c>
    </row>
    <row r="25" spans="1:6" x14ac:dyDescent="0.25">
      <c r="A25" s="10">
        <v>41991</v>
      </c>
      <c r="B25" t="s">
        <v>37</v>
      </c>
      <c r="C25" s="11">
        <f>-1433*D24</f>
        <v>-684.02822000000003</v>
      </c>
      <c r="D25" s="26">
        <f>SUM(C18:C25)/128230.47</f>
        <v>0.47734170282616922</v>
      </c>
    </row>
    <row r="26" spans="1:6" x14ac:dyDescent="0.25">
      <c r="A26" s="10">
        <v>41991</v>
      </c>
      <c r="B26" t="s">
        <v>38</v>
      </c>
      <c r="C26" s="11">
        <f>-17.5*D24</f>
        <v>-8.3534500000000005</v>
      </c>
      <c r="D26" s="26">
        <f>SUM(C18:C26)/128212.97</f>
        <v>0.47734170305859075</v>
      </c>
    </row>
    <row r="27" spans="1:6" x14ac:dyDescent="0.25">
      <c r="A27" s="10">
        <v>41991</v>
      </c>
      <c r="B27" t="s">
        <v>39</v>
      </c>
      <c r="C27" s="11">
        <f>-124950*D24</f>
        <v>-59643.633000000002</v>
      </c>
      <c r="D27" s="26">
        <f>SUM(C18:C27)/3262.97</f>
        <v>0.47740691885000591</v>
      </c>
    </row>
    <row r="28" spans="1:6" x14ac:dyDescent="0.25">
      <c r="A28" s="28">
        <v>42005</v>
      </c>
      <c r="B28" s="29" t="s">
        <v>44</v>
      </c>
      <c r="C28" s="30">
        <f>15.25*D24</f>
        <v>7.2794349999999994</v>
      </c>
    </row>
    <row r="29" spans="1:6" x14ac:dyDescent="0.25">
      <c r="A29" s="10">
        <v>42011</v>
      </c>
      <c r="B29" s="29" t="s">
        <v>37</v>
      </c>
      <c r="C29" s="11">
        <f>-1433*D24</f>
        <v>-684.02822000000003</v>
      </c>
    </row>
    <row r="30" spans="1:6" x14ac:dyDescent="0.25">
      <c r="A30" s="10">
        <v>42036</v>
      </c>
      <c r="B30" s="29" t="s">
        <v>45</v>
      </c>
      <c r="C30" s="11">
        <f>0.45*D24</f>
        <v>0.21480299999999999</v>
      </c>
    </row>
    <row r="31" spans="1:6" x14ac:dyDescent="0.25">
      <c r="A31" s="10">
        <v>42064</v>
      </c>
      <c r="B31" s="29" t="s">
        <v>46</v>
      </c>
      <c r="C31" s="11">
        <f>0.35*D24</f>
        <v>0.167069</v>
      </c>
    </row>
    <row r="32" spans="1:6" x14ac:dyDescent="0.25">
      <c r="A32" s="10">
        <v>42095</v>
      </c>
      <c r="B32" s="29" t="s">
        <v>47</v>
      </c>
      <c r="C32" s="11">
        <f>0.39*D24</f>
        <v>0.18616260000000001</v>
      </c>
    </row>
    <row r="33" spans="1:3" x14ac:dyDescent="0.25">
      <c r="A33" s="10">
        <v>42125</v>
      </c>
      <c r="B33" s="29" t="s">
        <v>48</v>
      </c>
      <c r="C33" s="11">
        <f>0.38*D24</f>
        <v>0.1813892</v>
      </c>
    </row>
    <row r="34" spans="1:3" x14ac:dyDescent="0.25">
      <c r="A34" s="10">
        <v>42156</v>
      </c>
      <c r="B34" s="29" t="s">
        <v>47</v>
      </c>
      <c r="C34" s="11">
        <f>0.39*D24</f>
        <v>0.18616260000000001</v>
      </c>
    </row>
    <row r="35" spans="1:3" x14ac:dyDescent="0.25">
      <c r="A35" s="10">
        <v>42186</v>
      </c>
      <c r="B35" s="29" t="s">
        <v>48</v>
      </c>
      <c r="C35" s="11">
        <f>0.38*D24</f>
        <v>0.1813892</v>
      </c>
    </row>
    <row r="36" spans="1:3" x14ac:dyDescent="0.25">
      <c r="A36" s="10">
        <v>42217</v>
      </c>
      <c r="B36" s="29" t="s">
        <v>47</v>
      </c>
      <c r="C36" s="11">
        <f>0.39*D24</f>
        <v>0.18616260000000001</v>
      </c>
    </row>
    <row r="37" spans="1:3" x14ac:dyDescent="0.25">
      <c r="A37" s="10">
        <v>42248</v>
      </c>
      <c r="B37" s="29" t="s">
        <v>47</v>
      </c>
      <c r="C37" s="11">
        <f>0.39*D24</f>
        <v>0.18616260000000001</v>
      </c>
    </row>
    <row r="38" spans="1:3" x14ac:dyDescent="0.25">
      <c r="A38" s="10">
        <v>42278</v>
      </c>
      <c r="B38" s="29" t="s">
        <v>48</v>
      </c>
      <c r="C38" s="11">
        <f>0.39*D24</f>
        <v>0.18616260000000001</v>
      </c>
    </row>
    <row r="39" spans="1:3" x14ac:dyDescent="0.25">
      <c r="A39" s="10">
        <v>42278</v>
      </c>
      <c r="B39" s="29" t="s">
        <v>49</v>
      </c>
      <c r="C39" s="11">
        <f>-360*D24</f>
        <v>-171.8424</v>
      </c>
    </row>
    <row r="40" spans="1:3" x14ac:dyDescent="0.25">
      <c r="A40" s="10">
        <v>42309</v>
      </c>
      <c r="B40" s="29" t="s">
        <v>50</v>
      </c>
      <c r="C40" s="11">
        <f>0.32*D24</f>
        <v>0.15274879999999999</v>
      </c>
    </row>
    <row r="41" spans="1:3" x14ac:dyDescent="0.25">
      <c r="A41" s="10">
        <v>42339</v>
      </c>
      <c r="B41" s="29" t="s">
        <v>51</v>
      </c>
      <c r="C41" s="11">
        <f>0.31*D24</f>
        <v>0.14797540000000001</v>
      </c>
    </row>
    <row r="42" spans="1:3" x14ac:dyDescent="0.25">
      <c r="A42" s="10">
        <v>42370</v>
      </c>
      <c r="B42" s="29" t="s">
        <v>50</v>
      </c>
      <c r="C42" s="11">
        <f>0.32*D24</f>
        <v>0.15274879999999999</v>
      </c>
    </row>
    <row r="43" spans="1:3" x14ac:dyDescent="0.25">
      <c r="A43" s="10">
        <v>42373</v>
      </c>
      <c r="B43" s="29" t="s">
        <v>49</v>
      </c>
      <c r="C43" s="11">
        <f>-360*D24</f>
        <v>-171.8424</v>
      </c>
    </row>
    <row r="44" spans="1:3" x14ac:dyDescent="0.25">
      <c r="A44" s="10">
        <v>42401</v>
      </c>
      <c r="B44" s="29" t="s">
        <v>52</v>
      </c>
      <c r="C44" s="11">
        <f>0.25*D24</f>
        <v>0.119335</v>
      </c>
    </row>
    <row r="45" spans="1:3" x14ac:dyDescent="0.25">
      <c r="A45" s="10">
        <v>42430</v>
      </c>
      <c r="B45" s="29" t="s">
        <v>53</v>
      </c>
      <c r="C45" s="11">
        <f>0.22*D24</f>
        <v>0.10501479999999999</v>
      </c>
    </row>
    <row r="46" spans="1:3" x14ac:dyDescent="0.25">
      <c r="A46" s="10">
        <v>42461</v>
      </c>
      <c r="B46" s="29" t="s">
        <v>54</v>
      </c>
      <c r="C46" s="11">
        <f>0.24*D24</f>
        <v>0.11456159999999999</v>
      </c>
    </row>
    <row r="47" spans="1:3" x14ac:dyDescent="0.25">
      <c r="A47" s="10">
        <v>42461</v>
      </c>
      <c r="B47" s="29" t="s">
        <v>49</v>
      </c>
      <c r="C47" s="11">
        <f>-360*D24</f>
        <v>-171.8424</v>
      </c>
    </row>
    <row r="48" spans="1:3" x14ac:dyDescent="0.25">
      <c r="A48" s="10">
        <v>42491</v>
      </c>
      <c r="B48" s="29" t="s">
        <v>55</v>
      </c>
      <c r="C48" s="11">
        <f>0.16*D24</f>
        <v>7.6374399999999995E-2</v>
      </c>
    </row>
    <row r="49" spans="1:5" x14ac:dyDescent="0.25">
      <c r="A49" s="10">
        <v>42506</v>
      </c>
      <c r="B49" s="29" t="s">
        <v>56</v>
      </c>
      <c r="C49" s="11">
        <f>-80.64*D24</f>
        <v>-38.4926976</v>
      </c>
    </row>
    <row r="50" spans="1:5" x14ac:dyDescent="0.25">
      <c r="A50" s="36">
        <v>42515</v>
      </c>
      <c r="B50" s="40" t="s">
        <v>57</v>
      </c>
      <c r="C50" s="38">
        <f>151056.5*D24</f>
        <v>72105.309710000001</v>
      </c>
      <c r="D50" s="39" t="s">
        <v>58</v>
      </c>
    </row>
    <row r="51" spans="1:5" x14ac:dyDescent="0.25">
      <c r="A51" s="36">
        <v>42517</v>
      </c>
      <c r="B51" s="40" t="s">
        <v>36</v>
      </c>
      <c r="C51" s="38">
        <v>22500</v>
      </c>
      <c r="D51" s="39">
        <f>94934.85/196746.4</f>
        <v>0.48252394961229284</v>
      </c>
      <c r="E51" s="40" t="s">
        <v>60</v>
      </c>
    </row>
    <row r="52" spans="1:5" x14ac:dyDescent="0.25">
      <c r="A52" s="10">
        <v>42522</v>
      </c>
      <c r="B52" s="29" t="s">
        <v>61</v>
      </c>
      <c r="C52" s="11">
        <f>8.94*D51</f>
        <v>4.3137641095338974</v>
      </c>
    </row>
    <row r="53" spans="1:5" x14ac:dyDescent="0.25">
      <c r="A53" s="10">
        <v>42552</v>
      </c>
      <c r="B53" s="29" t="s">
        <v>62</v>
      </c>
      <c r="C53" s="11">
        <f>40.43*D51</f>
        <v>19.508443282824999</v>
      </c>
    </row>
    <row r="54" spans="1:5" x14ac:dyDescent="0.25">
      <c r="A54" s="10">
        <v>42552</v>
      </c>
      <c r="B54" s="29" t="s">
        <v>49</v>
      </c>
      <c r="C54" s="11">
        <f>-360*D51</f>
        <v>-173.70862186042541</v>
      </c>
    </row>
    <row r="55" spans="1:5" x14ac:dyDescent="0.25">
      <c r="A55" s="10">
        <v>42573</v>
      </c>
      <c r="B55" s="29" t="s">
        <v>63</v>
      </c>
      <c r="C55" s="11">
        <f>90*D51</f>
        <v>43.427155465106352</v>
      </c>
    </row>
    <row r="56" spans="1:5" x14ac:dyDescent="0.25">
      <c r="A56" s="10">
        <v>42583</v>
      </c>
      <c r="B56" s="29" t="s">
        <v>64</v>
      </c>
      <c r="C56" s="11">
        <f>41.71*D51</f>
        <v>20.126073938328734</v>
      </c>
    </row>
    <row r="57" spans="1:5" x14ac:dyDescent="0.25">
      <c r="A57" s="36">
        <v>42607</v>
      </c>
      <c r="B57" s="40" t="s">
        <v>103</v>
      </c>
      <c r="C57" s="38">
        <f>-152373*D51</f>
        <v>-73523.621774273895</v>
      </c>
      <c r="D57" s="39"/>
      <c r="E57" s="40" t="s">
        <v>104</v>
      </c>
    </row>
    <row r="58" spans="1:5" x14ac:dyDescent="0.25">
      <c r="A58" s="10">
        <v>42614</v>
      </c>
      <c r="B58" s="29" t="s">
        <v>65</v>
      </c>
      <c r="C58" s="11">
        <f>20.66*D51</f>
        <v>9.9689447989899698</v>
      </c>
    </row>
    <row r="59" spans="1:5" x14ac:dyDescent="0.25">
      <c r="A59" s="10">
        <v>42644</v>
      </c>
      <c r="B59" s="29" t="s">
        <v>66</v>
      </c>
      <c r="C59" s="11">
        <f>5.45*D51</f>
        <v>2.629755525386996</v>
      </c>
    </row>
    <row r="60" spans="1:5" x14ac:dyDescent="0.25">
      <c r="A60" s="10">
        <v>42646</v>
      </c>
      <c r="B60" s="29" t="s">
        <v>49</v>
      </c>
      <c r="C60" s="11">
        <f>-360*D51</f>
        <v>-173.70862186042541</v>
      </c>
    </row>
    <row r="61" spans="1:5" x14ac:dyDescent="0.25">
      <c r="A61" s="10">
        <v>42675</v>
      </c>
      <c r="B61" s="29" t="s">
        <v>67</v>
      </c>
      <c r="C61" s="11">
        <f>4.44*D51</f>
        <v>2.1424063362785803</v>
      </c>
    </row>
    <row r="62" spans="1:5" x14ac:dyDescent="0.25">
      <c r="A62" s="10">
        <v>42705</v>
      </c>
      <c r="B62" s="29" t="s">
        <v>68</v>
      </c>
      <c r="C62" s="11">
        <f>3.61*D51</f>
        <v>1.7419114581003772</v>
      </c>
    </row>
    <row r="63" spans="1:5" x14ac:dyDescent="0.25">
      <c r="A63" s="10">
        <v>42736</v>
      </c>
      <c r="B63" s="29" t="s">
        <v>69</v>
      </c>
      <c r="C63" s="11">
        <f>3.73*D51</f>
        <v>1.7998143320538522</v>
      </c>
    </row>
    <row r="64" spans="1:5" x14ac:dyDescent="0.25">
      <c r="A64" s="10">
        <v>42738</v>
      </c>
      <c r="B64" s="29" t="s">
        <v>49</v>
      </c>
      <c r="C64" s="11">
        <f>-360*D51</f>
        <v>-173.70862186042541</v>
      </c>
    </row>
    <row r="65" spans="1:5" x14ac:dyDescent="0.25">
      <c r="A65" s="10">
        <v>42765</v>
      </c>
      <c r="B65" s="29" t="s">
        <v>70</v>
      </c>
      <c r="C65" s="11">
        <f>-2338.74*D51</f>
        <v>-1128.4980619162536</v>
      </c>
    </row>
    <row r="66" spans="1:5" x14ac:dyDescent="0.25">
      <c r="A66" s="10">
        <v>42767</v>
      </c>
      <c r="B66" s="29" t="s">
        <v>71</v>
      </c>
      <c r="C66" s="11">
        <f>3.69*D51</f>
        <v>1.7805133740693606</v>
      </c>
    </row>
    <row r="67" spans="1:5" x14ac:dyDescent="0.25">
      <c r="A67" s="10">
        <v>42795</v>
      </c>
      <c r="B67" s="29" t="s">
        <v>72</v>
      </c>
      <c r="C67" s="11">
        <f>3.16*D51</f>
        <v>1.5247756807748454</v>
      </c>
    </row>
    <row r="68" spans="1:5" x14ac:dyDescent="0.25">
      <c r="A68" s="36">
        <v>42825</v>
      </c>
      <c r="B68" s="40" t="s">
        <v>36</v>
      </c>
      <c r="C68" s="38">
        <v>10000</v>
      </c>
      <c r="D68" s="39">
        <f>SUM(C18:C68)/61180.48</f>
        <v>0.48823689451488517</v>
      </c>
      <c r="E68" s="40" t="s">
        <v>73</v>
      </c>
    </row>
    <row r="69" spans="1:5" x14ac:dyDescent="0.25">
      <c r="A69" s="36">
        <v>42825</v>
      </c>
      <c r="B69" s="40" t="s">
        <v>36</v>
      </c>
      <c r="C69" s="38">
        <v>10000</v>
      </c>
      <c r="D69" s="39">
        <f>39870.57/81180.48</f>
        <v>0.49113493785698237</v>
      </c>
      <c r="E69" s="40" t="s">
        <v>73</v>
      </c>
    </row>
    <row r="70" spans="1:5" x14ac:dyDescent="0.25">
      <c r="A70" s="10">
        <v>42826</v>
      </c>
      <c r="B70" s="29" t="s">
        <v>74</v>
      </c>
      <c r="C70" s="11">
        <f>3.6*D69</f>
        <v>1.7680857762851365</v>
      </c>
    </row>
    <row r="71" spans="1:5" x14ac:dyDescent="0.25">
      <c r="A71" s="10">
        <v>42828</v>
      </c>
      <c r="B71" s="29" t="s">
        <v>49</v>
      </c>
      <c r="C71" s="11">
        <f>-360*D69</f>
        <v>-176.80857762851366</v>
      </c>
    </row>
    <row r="72" spans="1:5" x14ac:dyDescent="0.25">
      <c r="A72" s="10">
        <v>42856</v>
      </c>
      <c r="B72" s="29" t="s">
        <v>75</v>
      </c>
      <c r="C72" s="11">
        <f>6.64*D69</f>
        <v>3.2611359873703627</v>
      </c>
    </row>
    <row r="73" spans="1:5" x14ac:dyDescent="0.25">
      <c r="A73" s="36">
        <v>42885</v>
      </c>
      <c r="B73" s="40" t="s">
        <v>36</v>
      </c>
      <c r="C73" s="38">
        <v>24500</v>
      </c>
      <c r="D73" s="39">
        <f>64198.79/129830.72</f>
        <v>0.49448073614626803</v>
      </c>
      <c r="E73" s="40" t="s">
        <v>76</v>
      </c>
    </row>
    <row r="74" spans="1:5" x14ac:dyDescent="0.25">
      <c r="A74" s="10">
        <v>42887</v>
      </c>
      <c r="B74" s="29" t="s">
        <v>77</v>
      </c>
      <c r="C74" s="11">
        <f>7.13*D73</f>
        <v>3.5256476487228912</v>
      </c>
    </row>
    <row r="75" spans="1:5" x14ac:dyDescent="0.25">
      <c r="A75" s="10">
        <v>42900</v>
      </c>
      <c r="B75" s="29" t="s">
        <v>78</v>
      </c>
      <c r="C75" s="11">
        <f>-29*D73</f>
        <v>-14.339941348241773</v>
      </c>
    </row>
    <row r="76" spans="1:5" x14ac:dyDescent="0.25">
      <c r="A76" s="10">
        <v>42917</v>
      </c>
      <c r="B76" s="29" t="s">
        <v>80</v>
      </c>
      <c r="C76" s="11">
        <f>10.67*D73</f>
        <v>5.2761094546806797</v>
      </c>
    </row>
    <row r="77" spans="1:5" x14ac:dyDescent="0.25">
      <c r="A77" s="10">
        <v>42919</v>
      </c>
      <c r="B77" s="29" t="s">
        <v>79</v>
      </c>
      <c r="C77" s="11">
        <f>-360*D73</f>
        <v>-178.01306501265648</v>
      </c>
    </row>
    <row r="78" spans="1:5" x14ac:dyDescent="0.25">
      <c r="A78" s="10">
        <v>42919</v>
      </c>
      <c r="B78" s="29" t="s">
        <v>81</v>
      </c>
      <c r="C78" s="11">
        <f>-997*D73</f>
        <v>-492.99729393782923</v>
      </c>
    </row>
    <row r="79" spans="1:5" x14ac:dyDescent="0.25">
      <c r="A79" s="10">
        <v>42948</v>
      </c>
      <c r="B79" s="29" t="s">
        <v>82</v>
      </c>
      <c r="C79" s="11">
        <f>10.92*D73</f>
        <v>5.3997296387172469</v>
      </c>
    </row>
    <row r="80" spans="1:5" x14ac:dyDescent="0.25">
      <c r="A80" s="10">
        <v>42979</v>
      </c>
      <c r="B80" s="29" t="s">
        <v>83</v>
      </c>
      <c r="C80" s="11">
        <f>10.91*D73</f>
        <v>5.3947848313557847</v>
      </c>
    </row>
    <row r="81" spans="1:5" x14ac:dyDescent="0.25">
      <c r="A81" s="36">
        <v>43007</v>
      </c>
      <c r="B81" s="40" t="s">
        <v>92</v>
      </c>
      <c r="C81" s="38">
        <f>-100000*D73</f>
        <v>-49448.073614626803</v>
      </c>
      <c r="D81" s="39"/>
      <c r="E81" s="40" t="s">
        <v>91</v>
      </c>
    </row>
    <row r="82" spans="1:5" x14ac:dyDescent="0.25">
      <c r="A82" s="10">
        <v>43009</v>
      </c>
      <c r="B82" s="29" t="s">
        <v>84</v>
      </c>
      <c r="C82" s="11">
        <f>10.02*D73</f>
        <v>4.9546969761856055</v>
      </c>
    </row>
    <row r="83" spans="1:5" x14ac:dyDescent="0.25">
      <c r="A83" s="10">
        <v>43010</v>
      </c>
      <c r="B83" s="29" t="s">
        <v>85</v>
      </c>
      <c r="C83" s="11">
        <f>-330*D73</f>
        <v>-163.17864292826846</v>
      </c>
    </row>
    <row r="84" spans="1:5" x14ac:dyDescent="0.25">
      <c r="A84" s="10">
        <v>43040</v>
      </c>
      <c r="B84" s="29" t="s">
        <v>86</v>
      </c>
      <c r="C84" s="11">
        <f>2.39*D73</f>
        <v>1.1818089593895806</v>
      </c>
    </row>
    <row r="85" spans="1:5" x14ac:dyDescent="0.25">
      <c r="A85" s="36">
        <v>43047</v>
      </c>
      <c r="B85" s="40" t="s">
        <v>87</v>
      </c>
      <c r="C85" s="38">
        <f>443579.08/2</f>
        <v>221789.54</v>
      </c>
      <c r="D85" s="39">
        <f>235717.46/471745.84</f>
        <v>0.49967045814330863</v>
      </c>
      <c r="E85" s="40" t="s">
        <v>88</v>
      </c>
    </row>
    <row r="86" spans="1:5" x14ac:dyDescent="0.25">
      <c r="A86" s="10">
        <v>43070</v>
      </c>
      <c r="B86" s="29" t="s">
        <v>89</v>
      </c>
      <c r="C86" s="11">
        <f>30.27*D85</f>
        <v>15.125024767997951</v>
      </c>
    </row>
    <row r="87" spans="1:5" x14ac:dyDescent="0.25">
      <c r="A87" s="10">
        <v>43082</v>
      </c>
      <c r="B87" s="29" t="s">
        <v>90</v>
      </c>
      <c r="C87" s="11">
        <f>15.51*D85</f>
        <v>7.7498888058027164</v>
      </c>
    </row>
    <row r="88" spans="1:5" x14ac:dyDescent="0.25">
      <c r="A88" s="10">
        <v>43082</v>
      </c>
      <c r="B88" s="29" t="s">
        <v>85</v>
      </c>
      <c r="C88" s="11">
        <f>-330*D85</f>
        <v>-164.89125118729186</v>
      </c>
    </row>
    <row r="89" spans="1:5" x14ac:dyDescent="0.25">
      <c r="A89" s="36">
        <v>43083</v>
      </c>
      <c r="B89" s="40" t="s">
        <v>92</v>
      </c>
      <c r="C89" s="38">
        <f>-100000*D85</f>
        <v>-49967.045814330864</v>
      </c>
      <c r="D89" s="39"/>
      <c r="E89" s="40" t="s">
        <v>91</v>
      </c>
    </row>
    <row r="90" spans="1:5" x14ac:dyDescent="0.25">
      <c r="A90" s="10">
        <v>43084</v>
      </c>
      <c r="B90" s="29" t="s">
        <v>93</v>
      </c>
      <c r="C90" s="11">
        <f>-150*D85</f>
        <v>-74.950568721496296</v>
      </c>
    </row>
    <row r="91" spans="1:5" x14ac:dyDescent="0.25">
      <c r="A91" s="10">
        <v>43091</v>
      </c>
      <c r="B91" s="29" t="s">
        <v>94</v>
      </c>
    </row>
    <row r="92" spans="1:5" x14ac:dyDescent="0.25">
      <c r="A92" s="36">
        <v>43123</v>
      </c>
      <c r="B92" s="40" t="s">
        <v>97</v>
      </c>
      <c r="C92" s="38">
        <f>-75000*D85</f>
        <v>-37475.284360748148</v>
      </c>
      <c r="D92" s="39"/>
      <c r="E92" s="40" t="s">
        <v>91</v>
      </c>
    </row>
    <row r="93" spans="1:5" x14ac:dyDescent="0.25">
      <c r="A93" s="36">
        <v>43182</v>
      </c>
      <c r="B93" s="40" t="s">
        <v>99</v>
      </c>
      <c r="C93" s="38">
        <f>-70000*D85</f>
        <v>-34976.932070031602</v>
      </c>
      <c r="D93" s="39"/>
      <c r="E93" s="40" t="s">
        <v>91</v>
      </c>
    </row>
    <row r="94" spans="1:5" x14ac:dyDescent="0.25">
      <c r="A94" s="36">
        <v>43193</v>
      </c>
      <c r="B94" s="40" t="s">
        <v>36</v>
      </c>
      <c r="C94" s="38">
        <v>15500</v>
      </c>
      <c r="D94" s="39">
        <f>128581.23/257311.62</f>
        <v>0.49971015689069931</v>
      </c>
      <c r="E94" s="40" t="s">
        <v>100</v>
      </c>
    </row>
    <row r="95" spans="1:5" x14ac:dyDescent="0.25">
      <c r="A95" s="10">
        <v>43195</v>
      </c>
      <c r="B95" s="29" t="s">
        <v>85</v>
      </c>
      <c r="C95" s="11">
        <f>-330*D94</f>
        <v>-164.90435177393078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Top Sheet</vt:lpstr>
      <vt:lpstr>Notes</vt:lpstr>
      <vt:lpstr>Assets</vt:lpstr>
      <vt:lpstr>General Account</vt:lpstr>
      <vt:lpstr>Stephen Howells</vt:lpstr>
      <vt:lpstr>Steven Dicks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</cp:lastModifiedBy>
  <dcterms:created xsi:type="dcterms:W3CDTF">2017-05-17T09:28:40Z</dcterms:created>
  <dcterms:modified xsi:type="dcterms:W3CDTF">2018-04-25T13:24:34Z</dcterms:modified>
</cp:coreProperties>
</file>