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30" windowWidth="11240" windowHeight="77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19" i="1"/>
  <c r="Q20"/>
  <c r="Q21"/>
  <c r="Q22"/>
  <c r="Q23"/>
  <c r="Q24"/>
  <c r="Q25"/>
  <c r="Q26"/>
  <c r="Q27"/>
  <c r="Q18"/>
  <c r="Q5"/>
  <c r="Q6"/>
  <c r="Q8"/>
  <c r="Q9"/>
  <c r="Q10"/>
  <c r="Q11"/>
  <c r="Q12"/>
  <c r="Q13"/>
  <c r="Q4"/>
  <c r="P4"/>
  <c r="G22"/>
  <c r="J4"/>
  <c r="K4" s="1"/>
  <c r="P27"/>
  <c r="P26"/>
  <c r="P25"/>
  <c r="P24"/>
  <c r="P23"/>
  <c r="P22"/>
  <c r="P21"/>
  <c r="P20"/>
  <c r="P19"/>
  <c r="P18"/>
  <c r="P13"/>
  <c r="P12"/>
  <c r="P11"/>
  <c r="P10"/>
  <c r="P9"/>
  <c r="P8"/>
  <c r="P7"/>
  <c r="P6"/>
  <c r="P5"/>
  <c r="N13"/>
  <c r="N12"/>
  <c r="N11"/>
  <c r="N10"/>
  <c r="N9"/>
  <c r="N8"/>
  <c r="N7"/>
  <c r="N6"/>
  <c r="N5"/>
  <c r="N27"/>
  <c r="N26"/>
  <c r="N25"/>
  <c r="N24"/>
  <c r="N23"/>
  <c r="N22"/>
  <c r="N21"/>
  <c r="N20"/>
  <c r="N19"/>
  <c r="N18"/>
  <c r="N4"/>
  <c r="H20"/>
  <c r="H21"/>
  <c r="H22"/>
  <c r="H23"/>
  <c r="H24"/>
  <c r="H25"/>
  <c r="H26"/>
  <c r="H27"/>
  <c r="H19"/>
  <c r="I20"/>
  <c r="I22"/>
  <c r="I26"/>
  <c r="D28"/>
  <c r="F28"/>
  <c r="H13"/>
  <c r="H12"/>
  <c r="H11"/>
  <c r="H10"/>
  <c r="H9"/>
  <c r="H8"/>
  <c r="I8" s="1"/>
  <c r="I9"/>
  <c r="I10"/>
  <c r="I11"/>
  <c r="I12"/>
  <c r="I13"/>
  <c r="H7"/>
  <c r="I7" s="1"/>
  <c r="H6"/>
  <c r="I6" s="1"/>
  <c r="H5"/>
  <c r="I5" s="1"/>
  <c r="J13"/>
  <c r="J12"/>
  <c r="J11"/>
  <c r="J10"/>
  <c r="K10" s="1"/>
  <c r="J9"/>
  <c r="K9" s="1"/>
  <c r="J8"/>
  <c r="J7"/>
  <c r="J6"/>
  <c r="J5"/>
  <c r="C14"/>
  <c r="C28"/>
  <c r="I24"/>
  <c r="H28"/>
  <c r="J20"/>
  <c r="J21"/>
  <c r="K21" s="1"/>
  <c r="J22"/>
  <c r="K22" s="1"/>
  <c r="J23"/>
  <c r="K23" s="1"/>
  <c r="J24"/>
  <c r="J25"/>
  <c r="K25" s="1"/>
  <c r="J26"/>
  <c r="K26" s="1"/>
  <c r="J27"/>
  <c r="J19"/>
  <c r="J28" s="1"/>
  <c r="K20"/>
  <c r="K27"/>
  <c r="R26"/>
  <c r="R7"/>
  <c r="K24"/>
  <c r="G20"/>
  <c r="E20"/>
  <c r="E21"/>
  <c r="E23"/>
  <c r="E24"/>
  <c r="E25"/>
  <c r="E27"/>
  <c r="E19"/>
  <c r="G19"/>
  <c r="I19"/>
  <c r="K19"/>
  <c r="K6"/>
  <c r="K7"/>
  <c r="K8"/>
  <c r="K11"/>
  <c r="K13"/>
  <c r="G6"/>
  <c r="G7"/>
  <c r="F8"/>
  <c r="G9"/>
  <c r="G10"/>
  <c r="G11"/>
  <c r="G12"/>
  <c r="G13"/>
  <c r="G5"/>
  <c r="D8"/>
  <c r="E8" s="1"/>
  <c r="E5"/>
  <c r="K18"/>
  <c r="I18"/>
  <c r="I21"/>
  <c r="I23"/>
  <c r="I25"/>
  <c r="I27"/>
  <c r="E18"/>
  <c r="E22"/>
  <c r="E26"/>
  <c r="G18"/>
  <c r="G21"/>
  <c r="G25"/>
  <c r="K5"/>
  <c r="K12"/>
  <c r="I4"/>
  <c r="G8"/>
  <c r="G4"/>
  <c r="E4"/>
  <c r="E6"/>
  <c r="E7"/>
  <c r="E9"/>
  <c r="E10"/>
  <c r="E11"/>
  <c r="E12"/>
  <c r="E13"/>
  <c r="L18"/>
  <c r="M18" s="1"/>
  <c r="P14" l="1"/>
  <c r="J14"/>
  <c r="P28"/>
  <c r="L23"/>
  <c r="M23" s="1"/>
  <c r="L27"/>
  <c r="M27" s="1"/>
  <c r="N28"/>
  <c r="N14"/>
  <c r="O23"/>
  <c r="L25"/>
  <c r="L21"/>
  <c r="G27"/>
  <c r="G23"/>
  <c r="L12"/>
  <c r="M12" s="1"/>
  <c r="L9"/>
  <c r="M9" s="1"/>
  <c r="H30"/>
  <c r="L26"/>
  <c r="L24"/>
  <c r="L22"/>
  <c r="G26"/>
  <c r="G24"/>
  <c r="L19"/>
  <c r="O18"/>
  <c r="D30"/>
  <c r="L11"/>
  <c r="M11" s="1"/>
  <c r="L7"/>
  <c r="M7" s="1"/>
  <c r="F14"/>
  <c r="F15" s="1"/>
  <c r="L13"/>
  <c r="M13" s="1"/>
  <c r="S13" s="1"/>
  <c r="L10"/>
  <c r="M10" s="1"/>
  <c r="L8"/>
  <c r="M8" s="1"/>
  <c r="L6"/>
  <c r="M6" s="1"/>
  <c r="J15"/>
  <c r="F30"/>
  <c r="L20"/>
  <c r="L4"/>
  <c r="M4" s="1"/>
  <c r="H14"/>
  <c r="H15" s="1"/>
  <c r="L5"/>
  <c r="M5" s="1"/>
  <c r="D14"/>
  <c r="J30"/>
  <c r="C32"/>
  <c r="O9" l="1"/>
  <c r="L28"/>
  <c r="T27" s="1"/>
  <c r="D15"/>
  <c r="J32"/>
  <c r="J33" s="1"/>
  <c r="O8"/>
  <c r="O11"/>
  <c r="S27"/>
  <c r="O27"/>
  <c r="M22"/>
  <c r="M26"/>
  <c r="M25"/>
  <c r="M24"/>
  <c r="M21"/>
  <c r="O12"/>
  <c r="O24"/>
  <c r="O21"/>
  <c r="O25"/>
  <c r="M19"/>
  <c r="O19"/>
  <c r="M20"/>
  <c r="O7"/>
  <c r="Q7" s="1"/>
  <c r="O4"/>
  <c r="O5"/>
  <c r="O20"/>
  <c r="O6"/>
  <c r="O10"/>
  <c r="O13"/>
  <c r="O22"/>
  <c r="O26"/>
  <c r="D32"/>
  <c r="D33" s="1"/>
  <c r="F32"/>
  <c r="F33" s="1"/>
  <c r="H32"/>
  <c r="L14"/>
  <c r="L15" s="1"/>
  <c r="L30" l="1"/>
  <c r="T13"/>
  <c r="Q14"/>
  <c r="L32"/>
  <c r="L33" s="1"/>
  <c r="Q28"/>
  <c r="O28"/>
  <c r="O14"/>
  <c r="H33"/>
</calcChain>
</file>

<file path=xl/sharedStrings.xml><?xml version="1.0" encoding="utf-8"?>
<sst xmlns="http://schemas.openxmlformats.org/spreadsheetml/2006/main" count="78" uniqueCount="53">
  <si>
    <t xml:space="preserve">Client Name </t>
  </si>
  <si>
    <t>Amount Investing in Loan Note</t>
  </si>
  <si>
    <t>P VARLEY LTD SCHEME</t>
  </si>
  <si>
    <t>Patrick Varley</t>
  </si>
  <si>
    <t>Peter Mitchell Roberts</t>
  </si>
  <si>
    <t>Beverly Ann Pownall</t>
  </si>
  <si>
    <t>Bernard Ellis</t>
  </si>
  <si>
    <t>Andrew Heavisides</t>
  </si>
  <si>
    <t>Robin Brasher</t>
  </si>
  <si>
    <t>Andrew Mickleburgh</t>
  </si>
  <si>
    <t>David John Wallington</t>
  </si>
  <si>
    <t>Stephen Cox</t>
  </si>
  <si>
    <t>Mersey 55 Retirement Scheme</t>
  </si>
  <si>
    <t>Client Name</t>
  </si>
  <si>
    <t>Carl Denton</t>
  </si>
  <si>
    <t>Paul Williams</t>
  </si>
  <si>
    <t>Jean Francis Jones</t>
  </si>
  <si>
    <t>Tracy Joan Howard</t>
  </si>
  <si>
    <t>Steven Paul Robinson</t>
  </si>
  <si>
    <t>Peter Dalton</t>
  </si>
  <si>
    <t>Nigel Simms</t>
  </si>
  <si>
    <t>Forestry Allocation</t>
  </si>
  <si>
    <t>Loan Note Allocation</t>
  </si>
  <si>
    <t>David Deakin</t>
  </si>
  <si>
    <t>Scott Nelson</t>
  </si>
  <si>
    <t>Philip Franklin</t>
  </si>
  <si>
    <t>Gary Gibson</t>
  </si>
  <si>
    <t>Pension Value</t>
  </si>
  <si>
    <t>SkyWatch Inn</t>
  </si>
  <si>
    <t>Regulated Fund</t>
  </si>
  <si>
    <t>Skywatch Inn</t>
  </si>
  <si>
    <t>Cash</t>
  </si>
  <si>
    <t>Percentage Allocation</t>
  </si>
  <si>
    <t>Overall Percentage Allocation</t>
  </si>
  <si>
    <t>Combined Schemes</t>
  </si>
  <si>
    <t>Combined Schemes Overall Totals</t>
  </si>
  <si>
    <t>%age</t>
  </si>
  <si>
    <t>Allocated</t>
  </si>
  <si>
    <t>Year 1 Scheme Fees</t>
  </si>
  <si>
    <t>Member Intended</t>
  </si>
  <si>
    <t>Cash (minus fees)</t>
  </si>
  <si>
    <t>Drawdown Year 2</t>
  </si>
  <si>
    <t>Year 2 Scheme Fees</t>
  </si>
  <si>
    <t>End year 2</t>
  </si>
  <si>
    <t>Cash(Minus Fees)</t>
  </si>
  <si>
    <t xml:space="preserve">End Year 1 </t>
  </si>
  <si>
    <t>Rathbone MAP</t>
  </si>
  <si>
    <t>IFA2%init,0.5% An</t>
  </si>
  <si>
    <t>PP charges</t>
  </si>
  <si>
    <t>PP Charges</t>
  </si>
  <si>
    <t>IFA 0.5% An</t>
  </si>
  <si>
    <t>PP charges year1</t>
  </si>
  <si>
    <t>pp charges year2</t>
  </si>
</sst>
</file>

<file path=xl/styles.xml><?xml version="1.0" encoding="utf-8"?>
<styleSheet xmlns="http://schemas.openxmlformats.org/spreadsheetml/2006/main">
  <numFmts count="4">
    <numFmt numFmtId="6" formatCode="&quot;£&quot;#,##0;[Red]\-&quot;£&quot;#,##0"/>
    <numFmt numFmtId="8" formatCode="&quot;£&quot;#,##0.00;[Red]\-&quot;£&quot;#,##0.00"/>
    <numFmt numFmtId="164" formatCode="&quot;£&quot;#,##0.00"/>
    <numFmt numFmtId="165" formatCode="&quot;£&quot;#,##0"/>
  </numFmts>
  <fonts count="6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39">
    <xf numFmtId="0" fontId="0" fillId="0" borderId="0" xfId="0"/>
    <xf numFmtId="6" fontId="0" fillId="0" borderId="0" xfId="0" applyNumberFormat="1"/>
    <xf numFmtId="0" fontId="1" fillId="0" borderId="0" xfId="0" applyFont="1"/>
    <xf numFmtId="3" fontId="0" fillId="0" borderId="0" xfId="0" applyNumberFormat="1"/>
    <xf numFmtId="10" fontId="0" fillId="0" borderId="0" xfId="0" applyNumberFormat="1"/>
    <xf numFmtId="6" fontId="3" fillId="0" borderId="0" xfId="0" applyNumberFormat="1" applyFont="1"/>
    <xf numFmtId="6" fontId="4" fillId="0" borderId="0" xfId="0" applyNumberFormat="1" applyFont="1"/>
    <xf numFmtId="164" fontId="3" fillId="0" borderId="0" xfId="0" applyNumberFormat="1" applyFont="1"/>
    <xf numFmtId="164" fontId="0" fillId="0" borderId="0" xfId="0" applyNumberFormat="1"/>
    <xf numFmtId="164" fontId="0" fillId="0" borderId="0" xfId="0" applyNumberFormat="1" applyFont="1"/>
    <xf numFmtId="165" fontId="0" fillId="0" borderId="0" xfId="0" applyNumberFormat="1"/>
    <xf numFmtId="6" fontId="0" fillId="0" borderId="0" xfId="0" applyNumberFormat="1" applyFont="1"/>
    <xf numFmtId="0" fontId="5" fillId="2" borderId="0" xfId="1"/>
    <xf numFmtId="6" fontId="5" fillId="2" borderId="0" xfId="1" applyNumberFormat="1"/>
    <xf numFmtId="9" fontId="5" fillId="2" borderId="0" xfId="1" applyNumberFormat="1"/>
    <xf numFmtId="8" fontId="5" fillId="2" borderId="0" xfId="1" applyNumberFormat="1"/>
    <xf numFmtId="10" fontId="5" fillId="2" borderId="0" xfId="1" applyNumberFormat="1"/>
    <xf numFmtId="164" fontId="5" fillId="2" borderId="0" xfId="1" applyNumberFormat="1"/>
    <xf numFmtId="165" fontId="5" fillId="2" borderId="0" xfId="1" applyNumberFormat="1"/>
    <xf numFmtId="164" fontId="5" fillId="0" borderId="0" xfId="1" applyNumberFormat="1" applyFill="1"/>
    <xf numFmtId="6" fontId="5" fillId="0" borderId="0" xfId="1" applyNumberFormat="1" applyFill="1"/>
    <xf numFmtId="0" fontId="0" fillId="0" borderId="0" xfId="0" applyFill="1"/>
    <xf numFmtId="6" fontId="0" fillId="0" borderId="0" xfId="0" applyNumberFormat="1" applyFill="1"/>
    <xf numFmtId="9" fontId="0" fillId="0" borderId="0" xfId="0" applyNumberFormat="1" applyFill="1"/>
    <xf numFmtId="8" fontId="0" fillId="0" borderId="0" xfId="0" applyNumberFormat="1" applyFill="1"/>
    <xf numFmtId="10" fontId="0" fillId="0" borderId="0" xfId="0" applyNumberFormat="1" applyFill="1"/>
    <xf numFmtId="6" fontId="4" fillId="0" borderId="0" xfId="0" applyNumberFormat="1" applyFont="1" applyFill="1"/>
    <xf numFmtId="164" fontId="0" fillId="0" borderId="0" xfId="0" applyNumberFormat="1" applyFont="1" applyFill="1"/>
    <xf numFmtId="164" fontId="0" fillId="0" borderId="0" xfId="0" applyNumberFormat="1" applyFill="1"/>
    <xf numFmtId="6" fontId="0" fillId="0" borderId="0" xfId="0" applyNumberFormat="1" applyFont="1" applyFill="1"/>
    <xf numFmtId="0" fontId="2" fillId="0" borderId="0" xfId="0" applyFont="1" applyFill="1"/>
    <xf numFmtId="6" fontId="2" fillId="0" borderId="0" xfId="0" applyNumberFormat="1" applyFont="1" applyFill="1"/>
    <xf numFmtId="9" fontId="2" fillId="0" borderId="0" xfId="0" applyNumberFormat="1" applyFont="1" applyFill="1"/>
    <xf numFmtId="10" fontId="2" fillId="0" borderId="0" xfId="0" applyNumberFormat="1" applyFont="1" applyFill="1"/>
    <xf numFmtId="164" fontId="2" fillId="0" borderId="0" xfId="0" applyNumberFormat="1" applyFont="1" applyFill="1"/>
    <xf numFmtId="164" fontId="2" fillId="0" borderId="0" xfId="1" applyNumberFormat="1" applyFont="1" applyFill="1"/>
    <xf numFmtId="6" fontId="5" fillId="2" borderId="0" xfId="1" applyNumberFormat="1" applyProtection="1">
      <protection locked="0"/>
    </xf>
    <xf numFmtId="6" fontId="0" fillId="0" borderId="0" xfId="0" applyNumberFormat="1" applyFill="1" applyProtection="1">
      <protection locked="0"/>
    </xf>
    <xf numFmtId="6" fontId="2" fillId="0" borderId="0" xfId="0" applyNumberFormat="1" applyFont="1" applyFill="1" applyProtection="1"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0"/>
  <sheetViews>
    <sheetView tabSelected="1" workbookViewId="0">
      <selection activeCell="C20" sqref="C20"/>
    </sheetView>
  </sheetViews>
  <sheetFormatPr defaultRowHeight="14.5"/>
  <cols>
    <col min="1" max="1" width="34.54296875" customWidth="1"/>
    <col min="2" max="2" width="30.54296875" hidden="1" customWidth="1"/>
    <col min="3" max="3" width="13.7265625" customWidth="1"/>
    <col min="4" max="4" width="17.7265625" customWidth="1"/>
    <col min="5" max="5" width="9.1796875" customWidth="1"/>
    <col min="6" max="6" width="19.26953125" customWidth="1"/>
    <col min="7" max="7" width="12" customWidth="1"/>
    <col min="8" max="8" width="15" customWidth="1"/>
    <col min="9" max="9" width="9.26953125" customWidth="1"/>
    <col min="10" max="10" width="13" customWidth="1"/>
    <col min="11" max="11" width="9" customWidth="1"/>
    <col min="12" max="12" width="9.1796875" customWidth="1"/>
    <col min="13" max="13" width="9" customWidth="1"/>
    <col min="14" max="14" width="18" customWidth="1"/>
    <col min="15" max="15" width="16.26953125" customWidth="1"/>
    <col min="16" max="16" width="18.1796875" customWidth="1"/>
    <col min="17" max="17" width="16.453125" customWidth="1"/>
    <col min="18" max="18" width="16.81640625" customWidth="1"/>
  </cols>
  <sheetData>
    <row r="1" spans="1:20" ht="18.5">
      <c r="A1" s="2" t="s">
        <v>2</v>
      </c>
      <c r="N1" t="s">
        <v>38</v>
      </c>
      <c r="P1" t="s">
        <v>42</v>
      </c>
    </row>
    <row r="2" spans="1:20">
      <c r="E2" t="s">
        <v>36</v>
      </c>
      <c r="G2" t="s">
        <v>36</v>
      </c>
      <c r="H2" t="s">
        <v>29</v>
      </c>
      <c r="I2" t="s">
        <v>36</v>
      </c>
      <c r="K2" t="s">
        <v>36</v>
      </c>
      <c r="M2" t="s">
        <v>36</v>
      </c>
      <c r="N2" t="s">
        <v>48</v>
      </c>
      <c r="O2" t="s">
        <v>45</v>
      </c>
      <c r="P2" t="s">
        <v>49</v>
      </c>
      <c r="Q2" t="s">
        <v>43</v>
      </c>
      <c r="R2" t="s">
        <v>39</v>
      </c>
    </row>
    <row r="3" spans="1:20">
      <c r="A3" t="s">
        <v>0</v>
      </c>
      <c r="B3" t="s">
        <v>1</v>
      </c>
      <c r="C3" t="s">
        <v>27</v>
      </c>
      <c r="D3" t="s">
        <v>21</v>
      </c>
      <c r="E3" t="s">
        <v>37</v>
      </c>
      <c r="F3" t="s">
        <v>22</v>
      </c>
      <c r="G3" t="s">
        <v>37</v>
      </c>
      <c r="H3" t="s">
        <v>46</v>
      </c>
      <c r="I3" t="s">
        <v>37</v>
      </c>
      <c r="J3" t="s">
        <v>28</v>
      </c>
      <c r="K3" t="s">
        <v>37</v>
      </c>
      <c r="L3" t="s">
        <v>31</v>
      </c>
      <c r="M3" t="s">
        <v>37</v>
      </c>
      <c r="N3" t="s">
        <v>47</v>
      </c>
      <c r="O3" t="s">
        <v>40</v>
      </c>
      <c r="P3" t="s">
        <v>50</v>
      </c>
      <c r="Q3" t="s">
        <v>44</v>
      </c>
      <c r="R3" t="s">
        <v>41</v>
      </c>
    </row>
    <row r="4" spans="1:20" s="12" customFormat="1">
      <c r="A4" s="12" t="s">
        <v>3</v>
      </c>
      <c r="B4" s="13">
        <v>16000</v>
      </c>
      <c r="C4" s="36">
        <v>25000</v>
      </c>
      <c r="D4" s="13">
        <v>10000</v>
      </c>
      <c r="E4" s="14">
        <f>(D4/C4)*100%</f>
        <v>0.4</v>
      </c>
      <c r="F4" s="13">
        <v>6000</v>
      </c>
      <c r="G4" s="14">
        <f>(F4/C4)*100%</f>
        <v>0.24</v>
      </c>
      <c r="H4" s="13">
        <v>5000</v>
      </c>
      <c r="I4" s="14">
        <f>(H4/C4)*100%</f>
        <v>0.2</v>
      </c>
      <c r="J4" s="13">
        <f>C4*4.65%</f>
        <v>1162.5000000000002</v>
      </c>
      <c r="K4" s="16">
        <f>(J4/C4)*100%</f>
        <v>4.6500000000000007E-2</v>
      </c>
      <c r="L4" s="13">
        <f t="shared" ref="L4:L13" si="0">(C4-(D4+F4+H4+J4))</f>
        <v>2837.5</v>
      </c>
      <c r="M4" s="14">
        <f>(L4/C4)*100%</f>
        <v>0.1135</v>
      </c>
      <c r="N4" s="17">
        <f>(N35/10)+(C4*2.5%)</f>
        <v>1954</v>
      </c>
      <c r="O4" s="13">
        <f>(((F4*25%)+(F4*8%))+(J4*14%)+L4)-N4</f>
        <v>3026.25</v>
      </c>
      <c r="P4" s="11">
        <f>(N36/10)+(C4*0.5%)</f>
        <v>653</v>
      </c>
      <c r="Q4" s="17">
        <f>(((F4*25%)+(F4*8%))+(J4*14%)+(J4*125%)+(O4)-P4)</f>
        <v>5969.125</v>
      </c>
      <c r="R4" s="17"/>
    </row>
    <row r="5" spans="1:20" s="21" customFormat="1">
      <c r="A5" s="21" t="s">
        <v>4</v>
      </c>
      <c r="B5" s="22">
        <v>9000</v>
      </c>
      <c r="C5" s="37">
        <v>115000</v>
      </c>
      <c r="D5" s="22">
        <v>60000</v>
      </c>
      <c r="E5" s="23">
        <f t="shared" ref="E5:E13" si="1">(D5/C5)*100%</f>
        <v>0.52173913043478259</v>
      </c>
      <c r="F5" s="22">
        <v>21000</v>
      </c>
      <c r="G5" s="23">
        <f t="shared" ref="G5:G13" si="2">(F5/C5)*100%</f>
        <v>0.18260869565217391</v>
      </c>
      <c r="H5" s="22">
        <f t="shared" ref="H5:H13" si="3">C5*20%</f>
        <v>23000</v>
      </c>
      <c r="I5" s="23">
        <f t="shared" ref="I5:I13" si="4">(H5/C5)*100%</f>
        <v>0.2</v>
      </c>
      <c r="J5" s="22">
        <f t="shared" ref="J5:J13" si="5">C5*4.65%</f>
        <v>5347.5000000000009</v>
      </c>
      <c r="K5" s="25">
        <f t="shared" ref="K5:K13" si="6">(J5/C5)*100%</f>
        <v>4.6500000000000007E-2</v>
      </c>
      <c r="L5" s="22">
        <f t="shared" si="0"/>
        <v>5652.5</v>
      </c>
      <c r="M5" s="23">
        <f t="shared" ref="M5:M13" si="7">(L5/C5)*100%</f>
        <v>4.9152173913043481E-2</v>
      </c>
      <c r="N5" s="27">
        <f>(N35/10)+(C5*2.5%)</f>
        <v>4204</v>
      </c>
      <c r="O5" s="26">
        <f t="shared" ref="O5:O27" si="8">(((F5*25%)+(F5*8%))+(J5*14%)+L5)-N5</f>
        <v>9127.1500000000015</v>
      </c>
      <c r="P5" s="29">
        <f>(N36/10)+(C5*0.5%)</f>
        <v>1103</v>
      </c>
      <c r="Q5" s="19">
        <f t="shared" ref="Q5:Q13" si="9">(((F5*25%)+(F5*8%))+(J5*14%)+(J5*125%)+(O5)-P5)</f>
        <v>22387.175000000003</v>
      </c>
      <c r="R5" s="28"/>
    </row>
    <row r="6" spans="1:20" s="21" customFormat="1">
      <c r="A6" s="21" t="s">
        <v>5</v>
      </c>
      <c r="B6" s="22">
        <v>9000</v>
      </c>
      <c r="C6" s="37">
        <v>105000</v>
      </c>
      <c r="D6" s="22">
        <v>50000</v>
      </c>
      <c r="E6" s="23">
        <f t="shared" si="1"/>
        <v>0.47619047619047616</v>
      </c>
      <c r="F6" s="22">
        <v>24000</v>
      </c>
      <c r="G6" s="23">
        <f t="shared" si="2"/>
        <v>0.22857142857142856</v>
      </c>
      <c r="H6" s="22">
        <f t="shared" si="3"/>
        <v>21000</v>
      </c>
      <c r="I6" s="23">
        <f t="shared" si="4"/>
        <v>0.2</v>
      </c>
      <c r="J6" s="22">
        <f t="shared" si="5"/>
        <v>4882.5000000000009</v>
      </c>
      <c r="K6" s="25">
        <f t="shared" si="6"/>
        <v>4.6500000000000007E-2</v>
      </c>
      <c r="L6" s="22">
        <f t="shared" si="0"/>
        <v>5117.5</v>
      </c>
      <c r="M6" s="23">
        <f t="shared" si="7"/>
        <v>4.873809523809524E-2</v>
      </c>
      <c r="N6" s="27">
        <f>(N35/10)+(C6*2.5%)</f>
        <v>3954</v>
      </c>
      <c r="O6" s="26">
        <f t="shared" si="8"/>
        <v>9767.0499999999993</v>
      </c>
      <c r="P6" s="29">
        <f>(N36/10)+(C6*0.5%)</f>
        <v>1053</v>
      </c>
      <c r="Q6" s="19">
        <f t="shared" si="9"/>
        <v>23420.724999999999</v>
      </c>
      <c r="R6" s="28"/>
    </row>
    <row r="7" spans="1:20" s="21" customFormat="1">
      <c r="A7" s="21" t="s">
        <v>6</v>
      </c>
      <c r="B7" s="22">
        <v>61000</v>
      </c>
      <c r="C7" s="37">
        <v>90000</v>
      </c>
      <c r="D7" s="22">
        <v>40000</v>
      </c>
      <c r="E7" s="23">
        <f t="shared" si="1"/>
        <v>0.44444444444444442</v>
      </c>
      <c r="F7" s="22">
        <v>22000</v>
      </c>
      <c r="G7" s="23">
        <f t="shared" si="2"/>
        <v>0.24444444444444444</v>
      </c>
      <c r="H7" s="22">
        <f t="shared" si="3"/>
        <v>18000</v>
      </c>
      <c r="I7" s="23">
        <f t="shared" si="4"/>
        <v>0.2</v>
      </c>
      <c r="J7" s="22">
        <f t="shared" si="5"/>
        <v>4185.0000000000009</v>
      </c>
      <c r="K7" s="25">
        <f t="shared" si="6"/>
        <v>4.6500000000000014E-2</v>
      </c>
      <c r="L7" s="22">
        <f t="shared" si="0"/>
        <v>5815</v>
      </c>
      <c r="M7" s="23">
        <f t="shared" si="7"/>
        <v>6.4611111111111105E-2</v>
      </c>
      <c r="N7" s="27">
        <f>(N35/10)+(C7*2.5%)</f>
        <v>3579</v>
      </c>
      <c r="O7" s="26">
        <f t="shared" si="8"/>
        <v>10081.900000000001</v>
      </c>
      <c r="P7" s="29">
        <f>(N36/10)+(C7*0.5%)</f>
        <v>978</v>
      </c>
      <c r="Q7" s="19">
        <f t="shared" si="9"/>
        <v>22181.050000000003</v>
      </c>
      <c r="R7" s="28">
        <f>C7*25%</f>
        <v>22500</v>
      </c>
    </row>
    <row r="8" spans="1:20" s="21" customFormat="1">
      <c r="A8" s="21" t="s">
        <v>7</v>
      </c>
      <c r="B8" s="22">
        <v>10000</v>
      </c>
      <c r="C8" s="37">
        <v>60000</v>
      </c>
      <c r="D8" s="22">
        <f t="shared" ref="D8" si="10">C8*50%</f>
        <v>30000</v>
      </c>
      <c r="E8" s="23">
        <f t="shared" si="1"/>
        <v>0.5</v>
      </c>
      <c r="F8" s="22">
        <f t="shared" ref="F8" si="11">C8*20%</f>
        <v>12000</v>
      </c>
      <c r="G8" s="23">
        <f t="shared" si="2"/>
        <v>0.2</v>
      </c>
      <c r="H8" s="22">
        <f t="shared" si="3"/>
        <v>12000</v>
      </c>
      <c r="I8" s="23">
        <f t="shared" si="4"/>
        <v>0.2</v>
      </c>
      <c r="J8" s="22">
        <f t="shared" si="5"/>
        <v>2790.0000000000005</v>
      </c>
      <c r="K8" s="25">
        <f t="shared" si="6"/>
        <v>4.6500000000000007E-2</v>
      </c>
      <c r="L8" s="22">
        <f t="shared" si="0"/>
        <v>3210</v>
      </c>
      <c r="M8" s="23">
        <f t="shared" si="7"/>
        <v>5.3499999999999999E-2</v>
      </c>
      <c r="N8" s="27">
        <f>(N35/10)+(C8*2.5%)</f>
        <v>2829</v>
      </c>
      <c r="O8" s="26">
        <f t="shared" si="8"/>
        <v>4731.6000000000004</v>
      </c>
      <c r="P8" s="29">
        <f>(N36/10)+(C8*0.5%)</f>
        <v>828</v>
      </c>
      <c r="Q8" s="19">
        <f t="shared" si="9"/>
        <v>11741.7</v>
      </c>
      <c r="R8" s="28"/>
    </row>
    <row r="9" spans="1:20" s="30" customFormat="1">
      <c r="A9" s="30" t="s">
        <v>8</v>
      </c>
      <c r="B9" s="31">
        <v>3000</v>
      </c>
      <c r="C9" s="38">
        <v>47000</v>
      </c>
      <c r="D9" s="31">
        <v>20000</v>
      </c>
      <c r="E9" s="32">
        <f t="shared" si="1"/>
        <v>0.42553191489361702</v>
      </c>
      <c r="F9" s="31">
        <v>12000</v>
      </c>
      <c r="G9" s="32">
        <f t="shared" si="2"/>
        <v>0.25531914893617019</v>
      </c>
      <c r="H9" s="31">
        <f t="shared" si="3"/>
        <v>9400</v>
      </c>
      <c r="I9" s="32">
        <f t="shared" si="4"/>
        <v>0.2</v>
      </c>
      <c r="J9" s="31">
        <f t="shared" si="5"/>
        <v>2185.5000000000005</v>
      </c>
      <c r="K9" s="33">
        <f t="shared" si="6"/>
        <v>4.6500000000000007E-2</v>
      </c>
      <c r="L9" s="31">
        <f t="shared" si="0"/>
        <v>3414.5</v>
      </c>
      <c r="M9" s="32">
        <f t="shared" si="7"/>
        <v>7.2648936170212772E-2</v>
      </c>
      <c r="N9" s="34">
        <f>(N35/10)+(C9*2.5%)</f>
        <v>2504</v>
      </c>
      <c r="O9" s="31">
        <f t="shared" si="8"/>
        <v>5176.47</v>
      </c>
      <c r="P9" s="31">
        <f>(N36/10)+(C9*0.5%)</f>
        <v>763</v>
      </c>
      <c r="Q9" s="35">
        <f t="shared" si="9"/>
        <v>11411.315000000002</v>
      </c>
      <c r="R9" s="34"/>
    </row>
    <row r="10" spans="1:20" s="30" customFormat="1">
      <c r="A10" s="30" t="s">
        <v>9</v>
      </c>
      <c r="B10" s="31">
        <v>9000</v>
      </c>
      <c r="C10" s="38">
        <v>44000</v>
      </c>
      <c r="D10" s="31">
        <v>20000</v>
      </c>
      <c r="E10" s="32">
        <f t="shared" si="1"/>
        <v>0.45454545454545453</v>
      </c>
      <c r="F10" s="31">
        <v>10000</v>
      </c>
      <c r="G10" s="32">
        <f t="shared" si="2"/>
        <v>0.22727272727272727</v>
      </c>
      <c r="H10" s="31">
        <f t="shared" si="3"/>
        <v>8800</v>
      </c>
      <c r="I10" s="32">
        <f t="shared" si="4"/>
        <v>0.2</v>
      </c>
      <c r="J10" s="31">
        <f t="shared" si="5"/>
        <v>2046.0000000000002</v>
      </c>
      <c r="K10" s="33">
        <f t="shared" si="6"/>
        <v>4.6500000000000007E-2</v>
      </c>
      <c r="L10" s="31">
        <f t="shared" si="0"/>
        <v>3154</v>
      </c>
      <c r="M10" s="32">
        <f t="shared" si="7"/>
        <v>7.168181818181818E-2</v>
      </c>
      <c r="N10" s="34">
        <f>(N35/10)+(C10*2.5%)</f>
        <v>2429</v>
      </c>
      <c r="O10" s="31">
        <f t="shared" si="8"/>
        <v>4311.4400000000005</v>
      </c>
      <c r="P10" s="31">
        <f>(N36/10)+(C10*0.5%)</f>
        <v>748</v>
      </c>
      <c r="Q10" s="35">
        <f t="shared" si="9"/>
        <v>9707.380000000001</v>
      </c>
      <c r="R10" s="34"/>
    </row>
    <row r="11" spans="1:20" s="21" customFormat="1">
      <c r="A11" s="21" t="s">
        <v>10</v>
      </c>
      <c r="B11" s="22">
        <v>1000</v>
      </c>
      <c r="C11" s="37">
        <v>75000</v>
      </c>
      <c r="D11" s="22">
        <v>40000</v>
      </c>
      <c r="E11" s="23">
        <f t="shared" si="1"/>
        <v>0.53333333333333333</v>
      </c>
      <c r="F11" s="22">
        <v>13000</v>
      </c>
      <c r="G11" s="23">
        <f t="shared" si="2"/>
        <v>0.17333333333333334</v>
      </c>
      <c r="H11" s="22">
        <f t="shared" si="3"/>
        <v>15000</v>
      </c>
      <c r="I11" s="23">
        <f t="shared" si="4"/>
        <v>0.2</v>
      </c>
      <c r="J11" s="22">
        <f t="shared" si="5"/>
        <v>3487.5000000000005</v>
      </c>
      <c r="K11" s="25">
        <f t="shared" si="6"/>
        <v>4.6500000000000007E-2</v>
      </c>
      <c r="L11" s="22">
        <f t="shared" si="0"/>
        <v>3512.5</v>
      </c>
      <c r="M11" s="23">
        <f t="shared" si="7"/>
        <v>4.6833333333333331E-2</v>
      </c>
      <c r="N11" s="27">
        <f>(N35/10)+(C11*2.5%)</f>
        <v>3204</v>
      </c>
      <c r="O11" s="26">
        <f t="shared" si="8"/>
        <v>5086.75</v>
      </c>
      <c r="P11" s="29">
        <f>(N36/10)+(C11*0.5%)</f>
        <v>903</v>
      </c>
      <c r="Q11" s="19">
        <f t="shared" si="9"/>
        <v>13321.375</v>
      </c>
      <c r="R11" s="28"/>
    </row>
    <row r="12" spans="1:20" s="30" customFormat="1">
      <c r="A12" s="30" t="s">
        <v>11</v>
      </c>
      <c r="B12" s="31">
        <v>5000</v>
      </c>
      <c r="C12" s="38">
        <v>36000</v>
      </c>
      <c r="D12" s="31">
        <v>20000</v>
      </c>
      <c r="E12" s="32">
        <f t="shared" si="1"/>
        <v>0.55555555555555558</v>
      </c>
      <c r="F12" s="31">
        <v>4500</v>
      </c>
      <c r="G12" s="32">
        <f t="shared" si="2"/>
        <v>0.125</v>
      </c>
      <c r="H12" s="31">
        <f t="shared" si="3"/>
        <v>7200</v>
      </c>
      <c r="I12" s="32">
        <f t="shared" si="4"/>
        <v>0.2</v>
      </c>
      <c r="J12" s="31">
        <f t="shared" si="5"/>
        <v>1674.0000000000002</v>
      </c>
      <c r="K12" s="33">
        <f t="shared" si="6"/>
        <v>4.6500000000000007E-2</v>
      </c>
      <c r="L12" s="31">
        <f t="shared" si="0"/>
        <v>2626</v>
      </c>
      <c r="M12" s="32">
        <f t="shared" si="7"/>
        <v>7.2944444444444451E-2</v>
      </c>
      <c r="N12" s="34">
        <f>(N35/10)+(C12*2.5%)</f>
        <v>2229</v>
      </c>
      <c r="O12" s="31">
        <f t="shared" si="8"/>
        <v>2116.3600000000006</v>
      </c>
      <c r="P12" s="31">
        <f>(N36/10)+(C12*0.5%)</f>
        <v>708</v>
      </c>
      <c r="Q12" s="35">
        <f t="shared" si="9"/>
        <v>5220.2200000000012</v>
      </c>
      <c r="R12" s="34"/>
    </row>
    <row r="13" spans="1:20" s="21" customFormat="1">
      <c r="A13" s="21" t="s">
        <v>23</v>
      </c>
      <c r="C13" s="37">
        <v>130000</v>
      </c>
      <c r="D13" s="22">
        <v>70000</v>
      </c>
      <c r="E13" s="23">
        <f t="shared" si="1"/>
        <v>0.53846153846153844</v>
      </c>
      <c r="F13" s="22">
        <v>22000</v>
      </c>
      <c r="G13" s="23">
        <f t="shared" si="2"/>
        <v>0.16923076923076924</v>
      </c>
      <c r="H13" s="22">
        <f t="shared" si="3"/>
        <v>26000</v>
      </c>
      <c r="I13" s="23">
        <f t="shared" si="4"/>
        <v>0.2</v>
      </c>
      <c r="J13" s="22">
        <f t="shared" si="5"/>
        <v>6045.0000000000009</v>
      </c>
      <c r="K13" s="25">
        <f t="shared" si="6"/>
        <v>4.6500000000000007E-2</v>
      </c>
      <c r="L13" s="22">
        <f t="shared" si="0"/>
        <v>5955</v>
      </c>
      <c r="M13" s="23">
        <f t="shared" si="7"/>
        <v>4.5807692307692306E-2</v>
      </c>
      <c r="N13" s="27">
        <f>(N35/10)+(C13*2.5%)</f>
        <v>4579</v>
      </c>
      <c r="O13" s="26">
        <f t="shared" si="8"/>
        <v>9482.2999999999993</v>
      </c>
      <c r="P13" s="29">
        <f>(N36/10)+(C13*0.5%)</f>
        <v>1178</v>
      </c>
      <c r="Q13" s="19">
        <f t="shared" si="9"/>
        <v>23966.85</v>
      </c>
      <c r="R13" s="28"/>
      <c r="S13" s="25">
        <f>E13+G13+I13+K13+M13</f>
        <v>0.99999999999999989</v>
      </c>
      <c r="T13" s="22">
        <f>SUM(D14,F14,H14,J14,L14)</f>
        <v>727000</v>
      </c>
    </row>
    <row r="14" spans="1:20" s="21" customFormat="1">
      <c r="C14" s="22">
        <f>SUM(C4:C13)</f>
        <v>727000</v>
      </c>
      <c r="D14" s="22">
        <f>SUM(D4:D13)</f>
        <v>360000</v>
      </c>
      <c r="E14" s="22"/>
      <c r="F14" s="22">
        <f>SUM(F4:F13)</f>
        <v>146500</v>
      </c>
      <c r="G14" s="22"/>
      <c r="H14" s="22">
        <f>SUM(H4:H13)</f>
        <v>145400</v>
      </c>
      <c r="I14" s="22"/>
      <c r="J14" s="22">
        <f>SUM(J4:J13)</f>
        <v>33805.500000000007</v>
      </c>
      <c r="K14" s="22"/>
      <c r="L14" s="22">
        <f>SUM(L4:L13)</f>
        <v>41294.5</v>
      </c>
      <c r="M14" s="22"/>
      <c r="N14" s="27">
        <f>SUM(N4:N13)</f>
        <v>31465</v>
      </c>
      <c r="O14" s="22">
        <f>SUM(O4:O13)</f>
        <v>62907.270000000004</v>
      </c>
      <c r="P14" s="29">
        <f>SUM(P4:P13)</f>
        <v>8915</v>
      </c>
      <c r="Q14" s="27">
        <f>SUM(Q4:Q13)</f>
        <v>149326.91500000001</v>
      </c>
    </row>
    <row r="15" spans="1:20">
      <c r="C15" t="s">
        <v>32</v>
      </c>
      <c r="D15" s="4">
        <f>(D14/C14)*100%</f>
        <v>0.49518569463548828</v>
      </c>
      <c r="E15" s="4"/>
      <c r="F15" s="4">
        <f>(F14/C14)*100%</f>
        <v>0.20151306740027511</v>
      </c>
      <c r="G15" s="4"/>
      <c r="H15" s="4">
        <f>(H14/C14)*100%</f>
        <v>0.2</v>
      </c>
      <c r="I15" s="4"/>
      <c r="J15" s="4">
        <f>(J14/C14)*100%</f>
        <v>4.6500000000000007E-2</v>
      </c>
      <c r="K15" s="4"/>
      <c r="L15" s="4">
        <f>(L14/C14)*100%</f>
        <v>5.6801237964236591E-2</v>
      </c>
      <c r="M15" s="4"/>
      <c r="N15" s="7"/>
      <c r="O15" s="6"/>
      <c r="P15" s="5"/>
      <c r="Q15" s="7"/>
    </row>
    <row r="16" spans="1:20" ht="18.5">
      <c r="A16" s="2" t="s">
        <v>12</v>
      </c>
      <c r="E16" t="s">
        <v>36</v>
      </c>
      <c r="G16" t="s">
        <v>36</v>
      </c>
      <c r="I16" t="s">
        <v>36</v>
      </c>
      <c r="K16" t="s">
        <v>36</v>
      </c>
      <c r="M16" t="s">
        <v>36</v>
      </c>
      <c r="N16" s="7"/>
      <c r="O16" s="6"/>
      <c r="P16" s="5"/>
      <c r="Q16" s="7"/>
    </row>
    <row r="17" spans="1:20">
      <c r="A17" t="s">
        <v>13</v>
      </c>
      <c r="B17" t="s">
        <v>1</v>
      </c>
      <c r="C17" t="s">
        <v>27</v>
      </c>
      <c r="D17" t="s">
        <v>21</v>
      </c>
      <c r="E17" t="s">
        <v>37</v>
      </c>
      <c r="F17" t="s">
        <v>22</v>
      </c>
      <c r="G17" t="s">
        <v>37</v>
      </c>
      <c r="H17" t="s">
        <v>29</v>
      </c>
      <c r="I17" t="s">
        <v>37</v>
      </c>
      <c r="J17" t="s">
        <v>30</v>
      </c>
      <c r="K17" t="s">
        <v>37</v>
      </c>
      <c r="L17" s="1" t="s">
        <v>31</v>
      </c>
      <c r="M17" s="1" t="s">
        <v>37</v>
      </c>
      <c r="N17" s="7"/>
      <c r="O17" s="6"/>
      <c r="P17" s="5"/>
      <c r="Q17" s="7"/>
    </row>
    <row r="18" spans="1:20" s="12" customFormat="1">
      <c r="A18" s="12" t="s">
        <v>15</v>
      </c>
      <c r="B18" s="13">
        <v>8000</v>
      </c>
      <c r="C18" s="36">
        <v>39000</v>
      </c>
      <c r="D18" s="13">
        <v>20000</v>
      </c>
      <c r="E18" s="14">
        <f>(D18/C18)*100%</f>
        <v>0.51282051282051277</v>
      </c>
      <c r="F18" s="13">
        <v>5000</v>
      </c>
      <c r="G18" s="14">
        <f>(F18/C18)*100%</f>
        <v>0.12820512820512819</v>
      </c>
      <c r="H18" s="13">
        <v>7600</v>
      </c>
      <c r="I18" s="14">
        <f>(H18/C18)*100%</f>
        <v>0.19487179487179487</v>
      </c>
      <c r="J18" s="18">
        <v>2340</v>
      </c>
      <c r="K18" s="16">
        <f>(J18/C18)*100%</f>
        <v>0.06</v>
      </c>
      <c r="L18" s="13">
        <f>(C18-(D18+F18+H18+J18))</f>
        <v>4060</v>
      </c>
      <c r="M18" s="14">
        <f>(L18/C18)*100%</f>
        <v>0.1041025641025641</v>
      </c>
      <c r="N18" s="17">
        <f>(N35/10)+(C18*2.5%)</f>
        <v>2304</v>
      </c>
      <c r="O18" s="13">
        <f t="shared" si="8"/>
        <v>3733.6000000000004</v>
      </c>
      <c r="P18" s="13">
        <f>(N36/10)+(C18*0.5%)</f>
        <v>723</v>
      </c>
      <c r="Q18" s="17">
        <f>(((F18*25%)+(F18*8%))+(J18*14%)+(J18*125%)+(O18)-P18)</f>
        <v>7913.2000000000007</v>
      </c>
      <c r="R18" s="17"/>
    </row>
    <row r="19" spans="1:20" s="21" customFormat="1">
      <c r="A19" s="21" t="s">
        <v>14</v>
      </c>
      <c r="B19" s="22">
        <v>9000</v>
      </c>
      <c r="C19" s="37">
        <v>142000</v>
      </c>
      <c r="D19" s="22">
        <v>70000</v>
      </c>
      <c r="E19" s="23">
        <f>(D19/C19)*100%</f>
        <v>0.49295774647887325</v>
      </c>
      <c r="F19" s="22">
        <v>31000</v>
      </c>
      <c r="G19" s="23">
        <f>(F19/C19)*100%</f>
        <v>0.21830985915492956</v>
      </c>
      <c r="H19" s="22">
        <f>C19*19%</f>
        <v>26980</v>
      </c>
      <c r="I19" s="23">
        <f>(H19/C19)*100%</f>
        <v>0.19</v>
      </c>
      <c r="J19" s="24">
        <f>C19*6%</f>
        <v>8520</v>
      </c>
      <c r="K19" s="25">
        <f>(J19/C19)*100%</f>
        <v>0.06</v>
      </c>
      <c r="L19" s="22">
        <f t="shared" ref="L19:L27" si="12">(C19-(D19+F19+H19+J19))</f>
        <v>5500</v>
      </c>
      <c r="M19" s="23">
        <f>(L19/C19)*100%</f>
        <v>3.873239436619718E-2</v>
      </c>
      <c r="N19" s="19">
        <f>(N35/10)+(C19*2.5%)</f>
        <v>4879</v>
      </c>
      <c r="O19" s="26">
        <f t="shared" si="8"/>
        <v>12043.8</v>
      </c>
      <c r="P19" s="20">
        <f>(N36/10)+(C19*0.5%)</f>
        <v>1238</v>
      </c>
      <c r="Q19" s="19">
        <f t="shared" ref="Q19:Q27" si="13">(((F19*25%)+(F19*8%))+(J19*14%)+(J19*125%)+(O19)-P19)</f>
        <v>32878.6</v>
      </c>
      <c r="R19" s="28"/>
    </row>
    <row r="20" spans="1:20" s="12" customFormat="1">
      <c r="A20" s="12" t="s">
        <v>16</v>
      </c>
      <c r="B20" s="13">
        <v>6000</v>
      </c>
      <c r="C20" s="36">
        <v>59115</v>
      </c>
      <c r="D20" s="13">
        <v>30000</v>
      </c>
      <c r="E20" s="14">
        <f t="shared" ref="E20:E27" si="14">(D20/C20)*100%</f>
        <v>0.50748540979446843</v>
      </c>
      <c r="F20" s="13">
        <v>11000</v>
      </c>
      <c r="G20" s="14">
        <f t="shared" ref="G20:G27" si="15">(F20/C20)*100%</f>
        <v>0.18607798359130509</v>
      </c>
      <c r="H20" s="13">
        <f t="shared" ref="H20:H27" si="16">C20*19%</f>
        <v>11231.85</v>
      </c>
      <c r="I20" s="14">
        <f t="shared" ref="I20:I27" si="17">(H20/C20)*100%</f>
        <v>0.19</v>
      </c>
      <c r="J20" s="15">
        <f t="shared" ref="J20:J27" si="18">C20*6%</f>
        <v>3546.9</v>
      </c>
      <c r="K20" s="16">
        <f t="shared" ref="K20:K27" si="19">(J20/C20)*100%</f>
        <v>6.0000000000000005E-2</v>
      </c>
      <c r="L20" s="13">
        <f t="shared" si="12"/>
        <v>3336.25</v>
      </c>
      <c r="M20" s="14">
        <f t="shared" ref="M20:M27" si="20">(L20/C20)*100%</f>
        <v>5.643660661422651E-2</v>
      </c>
      <c r="N20" s="17">
        <f>(N35/10)+(C20*2.5%)</f>
        <v>2806.875</v>
      </c>
      <c r="O20" s="13">
        <f t="shared" si="8"/>
        <v>4655.9409999999998</v>
      </c>
      <c r="P20" s="13">
        <f>(N36/10)+(C20*0.5%)</f>
        <v>823.57500000000005</v>
      </c>
      <c r="Q20" s="17">
        <f t="shared" si="13"/>
        <v>12392.556999999997</v>
      </c>
      <c r="R20" s="17"/>
    </row>
    <row r="21" spans="1:20" s="21" customFormat="1">
      <c r="A21" s="21" t="s">
        <v>17</v>
      </c>
      <c r="B21" s="22">
        <v>3000</v>
      </c>
      <c r="C21" s="37">
        <v>36000</v>
      </c>
      <c r="D21" s="22">
        <v>20000</v>
      </c>
      <c r="E21" s="23">
        <f t="shared" si="14"/>
        <v>0.55555555555555558</v>
      </c>
      <c r="F21" s="22">
        <v>4500</v>
      </c>
      <c r="G21" s="23">
        <f t="shared" si="15"/>
        <v>0.125</v>
      </c>
      <c r="H21" s="22">
        <f t="shared" si="16"/>
        <v>6840</v>
      </c>
      <c r="I21" s="23">
        <f t="shared" si="17"/>
        <v>0.19</v>
      </c>
      <c r="J21" s="24">
        <f t="shared" si="18"/>
        <v>2160</v>
      </c>
      <c r="K21" s="25">
        <f t="shared" si="19"/>
        <v>0.06</v>
      </c>
      <c r="L21" s="22">
        <f t="shared" si="12"/>
        <v>2500</v>
      </c>
      <c r="M21" s="23">
        <f t="shared" si="20"/>
        <v>6.9444444444444448E-2</v>
      </c>
      <c r="N21" s="19">
        <f>(N35/10)+(C21*2.5%)</f>
        <v>2229</v>
      </c>
      <c r="O21" s="26">
        <f t="shared" si="8"/>
        <v>2058.3999999999996</v>
      </c>
      <c r="P21" s="20">
        <f>(N36/10)+(C21*0.5%)</f>
        <v>708</v>
      </c>
      <c r="Q21" s="19">
        <f t="shared" si="13"/>
        <v>5837.7999999999993</v>
      </c>
      <c r="R21" s="28"/>
    </row>
    <row r="22" spans="1:20" s="12" customFormat="1">
      <c r="A22" s="12" t="s">
        <v>18</v>
      </c>
      <c r="B22" s="13">
        <v>3000</v>
      </c>
      <c r="C22" s="36">
        <v>50312.32</v>
      </c>
      <c r="D22" s="13">
        <v>20000</v>
      </c>
      <c r="E22" s="14">
        <f t="shared" si="14"/>
        <v>0.39751695012275323</v>
      </c>
      <c r="F22" s="13">
        <v>14000</v>
      </c>
      <c r="G22" s="14">
        <f>(F22/C22)*100%</f>
        <v>0.27826186508592726</v>
      </c>
      <c r="H22" s="13">
        <f t="shared" si="16"/>
        <v>9559.3407999999999</v>
      </c>
      <c r="I22" s="14">
        <f t="shared" si="17"/>
        <v>0.19</v>
      </c>
      <c r="J22" s="15">
        <f t="shared" si="18"/>
        <v>3018.7392</v>
      </c>
      <c r="K22" s="16">
        <f t="shared" si="19"/>
        <v>0.06</v>
      </c>
      <c r="L22" s="13">
        <f t="shared" si="12"/>
        <v>3734.239999999998</v>
      </c>
      <c r="M22" s="14">
        <f t="shared" si="20"/>
        <v>7.4221184791319464E-2</v>
      </c>
      <c r="N22" s="17">
        <f>(N35/10)+(C22*2.5%)</f>
        <v>2586.808</v>
      </c>
      <c r="O22" s="13">
        <f t="shared" si="8"/>
        <v>6190.0554879999991</v>
      </c>
      <c r="P22" s="13">
        <f>(N36/10)+(C22*0.5%)</f>
        <v>779.5616</v>
      </c>
      <c r="Q22" s="17">
        <f t="shared" si="13"/>
        <v>14226.541375999997</v>
      </c>
      <c r="R22" s="17"/>
    </row>
    <row r="23" spans="1:20" s="12" customFormat="1">
      <c r="A23" s="12" t="s">
        <v>19</v>
      </c>
      <c r="B23" s="13">
        <v>8000</v>
      </c>
      <c r="C23" s="36">
        <v>41633.54</v>
      </c>
      <c r="D23" s="13">
        <v>20000</v>
      </c>
      <c r="E23" s="14">
        <f t="shared" si="14"/>
        <v>0.48038192284393783</v>
      </c>
      <c r="F23" s="13">
        <v>8000</v>
      </c>
      <c r="G23" s="14">
        <f t="shared" si="15"/>
        <v>0.19215276913757515</v>
      </c>
      <c r="H23" s="13">
        <f t="shared" si="16"/>
        <v>7910.3726000000006</v>
      </c>
      <c r="I23" s="14">
        <f t="shared" si="17"/>
        <v>0.19</v>
      </c>
      <c r="J23" s="15">
        <f t="shared" si="18"/>
        <v>2498.0124000000001</v>
      </c>
      <c r="K23" s="16">
        <f t="shared" si="19"/>
        <v>0.06</v>
      </c>
      <c r="L23" s="13">
        <f t="shared" si="12"/>
        <v>3225.1549999999988</v>
      </c>
      <c r="M23" s="14">
        <f t="shared" si="20"/>
        <v>7.7465308018486986E-2</v>
      </c>
      <c r="N23" s="17">
        <f>(N35/10)+(C23*2.5%)</f>
        <v>2369.8384999999998</v>
      </c>
      <c r="O23" s="13">
        <f t="shared" si="8"/>
        <v>3845.0382359999985</v>
      </c>
      <c r="P23" s="13">
        <f>(N36/10)+(C23*0.5%)</f>
        <v>736.16769999999997</v>
      </c>
      <c r="Q23" s="17">
        <f t="shared" si="13"/>
        <v>9221.1077719999976</v>
      </c>
      <c r="R23" s="17"/>
    </row>
    <row r="24" spans="1:20" s="12" customFormat="1">
      <c r="A24" s="12" t="s">
        <v>20</v>
      </c>
      <c r="B24" s="13">
        <v>1000</v>
      </c>
      <c r="C24" s="36">
        <v>55598</v>
      </c>
      <c r="D24" s="13">
        <v>30000</v>
      </c>
      <c r="E24" s="14">
        <f t="shared" si="14"/>
        <v>0.53958775495521427</v>
      </c>
      <c r="F24" s="13">
        <v>8000</v>
      </c>
      <c r="G24" s="14">
        <f t="shared" si="15"/>
        <v>0.14389006798805712</v>
      </c>
      <c r="H24" s="13">
        <f t="shared" si="16"/>
        <v>10563.62</v>
      </c>
      <c r="I24" s="14">
        <f t="shared" si="17"/>
        <v>0.19</v>
      </c>
      <c r="J24" s="15">
        <f t="shared" si="18"/>
        <v>3335.8799999999997</v>
      </c>
      <c r="K24" s="16">
        <f t="shared" si="19"/>
        <v>5.9999999999999991E-2</v>
      </c>
      <c r="L24" s="13">
        <f t="shared" si="12"/>
        <v>3698.5</v>
      </c>
      <c r="M24" s="14">
        <f t="shared" si="20"/>
        <v>6.6522177056728665E-2</v>
      </c>
      <c r="N24" s="17">
        <f>(N35/10)+(C24*2.5%)</f>
        <v>2718.95</v>
      </c>
      <c r="O24" s="13">
        <f t="shared" si="8"/>
        <v>4086.5731999999998</v>
      </c>
      <c r="P24" s="13">
        <f>(N36/10)+(C24*0.5%)</f>
        <v>805.99</v>
      </c>
      <c r="Q24" s="17">
        <f t="shared" si="13"/>
        <v>10557.456400000001</v>
      </c>
      <c r="R24" s="17"/>
    </row>
    <row r="25" spans="1:20" s="12" customFormat="1">
      <c r="A25" s="12" t="s">
        <v>24</v>
      </c>
      <c r="C25" s="36">
        <v>34993</v>
      </c>
      <c r="D25" s="13">
        <v>20000</v>
      </c>
      <c r="E25" s="14">
        <f t="shared" si="14"/>
        <v>0.57154288000457232</v>
      </c>
      <c r="F25" s="13">
        <v>4000</v>
      </c>
      <c r="G25" s="14">
        <f t="shared" si="15"/>
        <v>0.11430857600091447</v>
      </c>
      <c r="H25" s="13">
        <f t="shared" si="16"/>
        <v>6648.67</v>
      </c>
      <c r="I25" s="14">
        <f t="shared" si="17"/>
        <v>0.19</v>
      </c>
      <c r="J25" s="15">
        <f t="shared" si="18"/>
        <v>2099.58</v>
      </c>
      <c r="K25" s="16">
        <f t="shared" si="19"/>
        <v>0.06</v>
      </c>
      <c r="L25" s="13">
        <f t="shared" si="12"/>
        <v>2244.75</v>
      </c>
      <c r="M25" s="14">
        <f t="shared" si="20"/>
        <v>6.4148543994513182E-2</v>
      </c>
      <c r="N25" s="17">
        <f>(N35/10)+(C25*2.5%)</f>
        <v>2203.8249999999998</v>
      </c>
      <c r="O25" s="13">
        <f t="shared" si="8"/>
        <v>1654.8662000000004</v>
      </c>
      <c r="P25" s="13">
        <f>(N36/10)+(C25*0.5%)</f>
        <v>702.96500000000003</v>
      </c>
      <c r="Q25" s="17">
        <f t="shared" si="13"/>
        <v>5190.3173999999999</v>
      </c>
      <c r="R25" s="17"/>
    </row>
    <row r="26" spans="1:20" s="21" customFormat="1">
      <c r="A26" s="21" t="s">
        <v>25</v>
      </c>
      <c r="C26" s="37">
        <v>46000</v>
      </c>
      <c r="D26" s="22">
        <v>20000</v>
      </c>
      <c r="E26" s="23">
        <f t="shared" si="14"/>
        <v>0.43478260869565216</v>
      </c>
      <c r="F26" s="22">
        <v>11000</v>
      </c>
      <c r="G26" s="23">
        <f t="shared" si="15"/>
        <v>0.2391304347826087</v>
      </c>
      <c r="H26" s="22">
        <f t="shared" si="16"/>
        <v>8740</v>
      </c>
      <c r="I26" s="23">
        <f t="shared" si="17"/>
        <v>0.19</v>
      </c>
      <c r="J26" s="24">
        <f t="shared" si="18"/>
        <v>2760</v>
      </c>
      <c r="K26" s="25">
        <f t="shared" si="19"/>
        <v>0.06</v>
      </c>
      <c r="L26" s="22">
        <f t="shared" si="12"/>
        <v>3500</v>
      </c>
      <c r="M26" s="23">
        <f t="shared" si="20"/>
        <v>7.6086956521739135E-2</v>
      </c>
      <c r="N26" s="19">
        <f>(N35/10)+(C26*2.5%)</f>
        <v>2479</v>
      </c>
      <c r="O26" s="26">
        <f t="shared" si="8"/>
        <v>5037.3999999999996</v>
      </c>
      <c r="P26" s="20">
        <f>(N36/10)+(C26*0.5%)</f>
        <v>758</v>
      </c>
      <c r="Q26" s="19">
        <f t="shared" si="13"/>
        <v>11745.8</v>
      </c>
      <c r="R26" s="22">
        <f>C26*25%</f>
        <v>11500</v>
      </c>
    </row>
    <row r="27" spans="1:20" s="21" customFormat="1">
      <c r="A27" s="21" t="s">
        <v>26</v>
      </c>
      <c r="C27" s="37">
        <v>35000</v>
      </c>
      <c r="D27" s="22">
        <v>20000</v>
      </c>
      <c r="E27" s="23">
        <f t="shared" si="14"/>
        <v>0.5714285714285714</v>
      </c>
      <c r="F27" s="22">
        <v>4000</v>
      </c>
      <c r="G27" s="23">
        <f t="shared" si="15"/>
        <v>0.11428571428571428</v>
      </c>
      <c r="H27" s="22">
        <f t="shared" si="16"/>
        <v>6650</v>
      </c>
      <c r="I27" s="23">
        <f t="shared" si="17"/>
        <v>0.19</v>
      </c>
      <c r="J27" s="24">
        <f t="shared" si="18"/>
        <v>2100</v>
      </c>
      <c r="K27" s="25">
        <f t="shared" si="19"/>
        <v>0.06</v>
      </c>
      <c r="L27" s="22">
        <f t="shared" si="12"/>
        <v>2250</v>
      </c>
      <c r="M27" s="23">
        <f t="shared" si="20"/>
        <v>6.4285714285714279E-2</v>
      </c>
      <c r="N27" s="19">
        <f>(N35/10)+(C27*2.5%)</f>
        <v>2204</v>
      </c>
      <c r="O27" s="26">
        <f t="shared" si="8"/>
        <v>1660</v>
      </c>
      <c r="P27" s="20">
        <f>(N36/10)+(C27*0.5%)</f>
        <v>703</v>
      </c>
      <c r="Q27" s="19">
        <f t="shared" si="13"/>
        <v>5196</v>
      </c>
      <c r="R27" s="28"/>
      <c r="S27" s="25">
        <f>E27+G27+I27+K27+M27</f>
        <v>1</v>
      </c>
      <c r="T27" s="22">
        <f>SUM(D28,F28,H28,J28,L28,)</f>
        <v>539651.86</v>
      </c>
    </row>
    <row r="28" spans="1:20">
      <c r="C28" s="1">
        <f>SUM(C18:C27)</f>
        <v>539651.86</v>
      </c>
      <c r="D28" s="1">
        <f>SUM(D18:D27)</f>
        <v>270000</v>
      </c>
      <c r="E28" s="1"/>
      <c r="F28" s="1">
        <f>SUM(F18:F27)</f>
        <v>100500</v>
      </c>
      <c r="G28" s="1"/>
      <c r="H28" s="1">
        <f>SUM(H18:H27)</f>
        <v>102723.85339999999</v>
      </c>
      <c r="I28" s="1"/>
      <c r="J28" s="10">
        <f>SUM(J18:J27)</f>
        <v>32379.111600000004</v>
      </c>
      <c r="K28" s="3"/>
      <c r="L28" s="1">
        <f>SUM(L18:L27)</f>
        <v>34048.894999999997</v>
      </c>
      <c r="M28" s="1"/>
      <c r="N28" s="8">
        <f>SUM(N18:N27)</f>
        <v>26781.296500000004</v>
      </c>
      <c r="O28" s="1">
        <f>SUM(O18:O27)</f>
        <v>44965.674124000005</v>
      </c>
      <c r="P28" s="1">
        <f>SUM(P18:P27)</f>
        <v>7978.2592999999997</v>
      </c>
      <c r="Q28" s="9">
        <f>SUM(Q18:Q27)</f>
        <v>115159.379948</v>
      </c>
      <c r="R28" s="8"/>
    </row>
    <row r="30" spans="1:20">
      <c r="C30" t="s">
        <v>32</v>
      </c>
      <c r="D30" s="4">
        <f>(D28/C28)*100%</f>
        <v>0.50032255980735429</v>
      </c>
      <c r="E30" s="4"/>
      <c r="F30" s="4">
        <f>(F28/C28)*100%</f>
        <v>0.18623117503940412</v>
      </c>
      <c r="G30" s="4"/>
      <c r="H30" s="4">
        <f>(H28/C28)*100%</f>
        <v>0.19035207883838295</v>
      </c>
      <c r="I30" s="4"/>
      <c r="J30" s="4">
        <f>(J28/C28)*100%</f>
        <v>6.0000000000000012E-2</v>
      </c>
      <c r="K30" s="4"/>
      <c r="L30" s="4">
        <f>(L28/C28)*100%</f>
        <v>6.3094186314858622E-2</v>
      </c>
      <c r="M30" s="4"/>
    </row>
    <row r="32" spans="1:20">
      <c r="A32" t="s">
        <v>35</v>
      </c>
      <c r="C32" s="1">
        <f>SUM(C28,C14)</f>
        <v>1266651.8599999999</v>
      </c>
      <c r="D32" s="1">
        <f>SUM(D28,D14)</f>
        <v>630000</v>
      </c>
      <c r="E32" s="1"/>
      <c r="F32" s="1">
        <f>SUM(F28,F14)</f>
        <v>247000</v>
      </c>
      <c r="G32" s="1"/>
      <c r="H32" s="1">
        <f>SUM(H28,H14)</f>
        <v>248123.85339999999</v>
      </c>
      <c r="I32" s="1"/>
      <c r="J32" s="1">
        <f>SUM(J28,J14)</f>
        <v>66184.611600000004</v>
      </c>
      <c r="K32" s="1"/>
      <c r="L32" s="1">
        <f>(C32-(D32+F32+H32+J32))</f>
        <v>75343.395000000019</v>
      </c>
      <c r="M32" s="1"/>
    </row>
    <row r="33" spans="1:14">
      <c r="A33" t="s">
        <v>34</v>
      </c>
      <c r="C33" t="s">
        <v>33</v>
      </c>
      <c r="D33" s="4">
        <f>(D32/C32)*100%</f>
        <v>0.49737423509566397</v>
      </c>
      <c r="E33" s="4"/>
      <c r="F33" s="4">
        <f>(F32/C32)*100%</f>
        <v>0.1950022794740143</v>
      </c>
      <c r="G33" s="4"/>
      <c r="H33" s="4">
        <f>(H32/C32)*100%</f>
        <v>0.19588954252986296</v>
      </c>
      <c r="I33" s="4"/>
      <c r="J33" s="4">
        <f>(J32/C32)*100%</f>
        <v>5.2251619951831127E-2</v>
      </c>
      <c r="K33" s="4"/>
      <c r="L33" s="4">
        <f>(L32/C32)*100%</f>
        <v>5.948232294862775E-2</v>
      </c>
      <c r="M33" s="4"/>
      <c r="N33" s="8"/>
    </row>
    <row r="35" spans="1:14">
      <c r="L35" t="s">
        <v>51</v>
      </c>
      <c r="N35" s="10">
        <v>13290</v>
      </c>
    </row>
    <row r="36" spans="1:14">
      <c r="L36" t="s">
        <v>52</v>
      </c>
      <c r="N36" s="10">
        <v>5280</v>
      </c>
    </row>
    <row r="37" spans="1:14">
      <c r="N37" s="1"/>
    </row>
    <row r="38" spans="1:14">
      <c r="N38" s="1"/>
    </row>
    <row r="39" spans="1:14">
      <c r="N39" s="1"/>
    </row>
    <row r="40" spans="1:14">
      <c r="N40" s="1"/>
    </row>
  </sheetData>
  <sheetProtection password="E1BE" sheet="1" objects="1" scenarios="1"/>
  <pageMargins left="0.70866141732283472" right="0.70866141732283472" top="0.74803149606299213" bottom="0.74803149606299213" header="0.31496062992125984" footer="0.31496062992125984"/>
  <pageSetup paperSize="9" scale="50" orientation="landscape" r:id="rId1"/>
  <ignoredErrors>
    <ignoredError sqref="F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B3:B12"/>
  <sheetViews>
    <sheetView workbookViewId="0">
      <selection activeCell="I13" sqref="I13"/>
    </sheetView>
  </sheetViews>
  <sheetFormatPr defaultRowHeight="14.5"/>
  <sheetData>
    <row r="3" spans="2:2">
      <c r="B3" s="1"/>
    </row>
    <row r="4" spans="2:2">
      <c r="B4" s="1"/>
    </row>
    <row r="5" spans="2:2">
      <c r="B5" s="1"/>
    </row>
    <row r="6" spans="2:2">
      <c r="B6" s="1"/>
    </row>
    <row r="7" spans="2:2">
      <c r="B7" s="1"/>
    </row>
    <row r="8" spans="2:2">
      <c r="B8" s="1"/>
    </row>
    <row r="9" spans="2:2">
      <c r="B9" s="1"/>
    </row>
    <row r="10" spans="2:2">
      <c r="B10" s="1"/>
    </row>
    <row r="11" spans="2:2">
      <c r="B11" s="1"/>
    </row>
    <row r="12" spans="2:2">
      <c r="B1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Gavin McCloskey</cp:lastModifiedBy>
  <cp:lastPrinted>2014-05-02T12:43:19Z</cp:lastPrinted>
  <dcterms:created xsi:type="dcterms:W3CDTF">2013-09-19T13:43:46Z</dcterms:created>
  <dcterms:modified xsi:type="dcterms:W3CDTF">2016-09-28T10:37:40Z</dcterms:modified>
</cp:coreProperties>
</file>