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m\Desktop\Old Stuff\Work to be done 26032019\"/>
    </mc:Choice>
  </mc:AlternateContent>
  <xr:revisionPtr revIDLastSave="0" documentId="13_ncr:1_{2E3B9212-4742-4F48-ACA4-16D15A8BD57F}" xr6:coauthVersionLast="47" xr6:coauthVersionMax="47" xr10:uidLastSave="{00000000-0000-0000-0000-000000000000}"/>
  <bookViews>
    <workbookView xWindow="23880" yWindow="-120" windowWidth="29040" windowHeight="15840" activeTab="1" xr2:uid="{FBB71148-21E1-4304-A73D-4DED06B9C46F}"/>
  </bookViews>
  <sheets>
    <sheet name="Top Sheet" sheetId="12" r:id="rId1"/>
    <sheet name="Overall Assets" sheetId="1" r:id="rId2"/>
    <sheet name="Varley (Cry)" sheetId="2" r:id="rId3"/>
    <sheet name="Roberts (Unc)" sheetId="3" r:id="rId4"/>
    <sheet name="Roberts (Cry)" sheetId="4" r:id="rId5"/>
    <sheet name="Barnes (Ex Pownall) (Cry)" sheetId="6" r:id="rId6"/>
    <sheet name="Ellis (Unc)" sheetId="7" r:id="rId7"/>
    <sheet name="Ellis (Cry)" sheetId="8" r:id="rId8"/>
    <sheet name="Heavisides (DB)" sheetId="9" r:id="rId9"/>
    <sheet name="Wallington (Cry)" sheetId="10" r:id="rId10"/>
    <sheet name="Deakin (Unc)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15" i="3"/>
  <c r="G15" i="4"/>
  <c r="G17" i="6"/>
  <c r="G17" i="7"/>
  <c r="G19" i="8"/>
  <c r="G16" i="9"/>
  <c r="G16" i="10"/>
  <c r="G16" i="11"/>
  <c r="F16" i="11"/>
  <c r="F16" i="10"/>
  <c r="F16" i="9"/>
  <c r="F19" i="8"/>
  <c r="F17" i="7"/>
  <c r="F17" i="6"/>
  <c r="F15" i="4"/>
  <c r="F15" i="3"/>
  <c r="F15" i="2"/>
  <c r="G15" i="11"/>
  <c r="G14" i="11"/>
  <c r="G15" i="10"/>
  <c r="G15" i="9"/>
  <c r="G18" i="8"/>
  <c r="G16" i="7"/>
  <c r="G16" i="6"/>
  <c r="G14" i="4"/>
  <c r="G14" i="3"/>
  <c r="F14" i="11"/>
  <c r="F15" i="10"/>
  <c r="F15" i="9"/>
  <c r="F18" i="8"/>
  <c r="F16" i="7"/>
  <c r="F16" i="6"/>
  <c r="F14" i="4"/>
  <c r="F14" i="3"/>
  <c r="F14" i="2"/>
  <c r="G14" i="2"/>
  <c r="G14" i="10"/>
  <c r="F13" i="11"/>
  <c r="F13" i="10"/>
  <c r="F14" i="9"/>
  <c r="F17" i="8"/>
  <c r="F15" i="7"/>
  <c r="F15" i="6"/>
  <c r="F13" i="4"/>
  <c r="F13" i="3"/>
  <c r="F13" i="2"/>
  <c r="G13" i="10"/>
  <c r="G13" i="3"/>
  <c r="G2" i="3" s="1"/>
  <c r="G13" i="11"/>
  <c r="G14" i="9"/>
  <c r="G15" i="7"/>
  <c r="G17" i="8"/>
  <c r="G15" i="6"/>
  <c r="G13" i="4"/>
  <c r="G13" i="2"/>
  <c r="G2" i="2" s="1"/>
  <c r="F12" i="11"/>
  <c r="G12" i="11" s="1"/>
  <c r="F12" i="10"/>
  <c r="G12" i="10" s="1"/>
  <c r="F13" i="9"/>
  <c r="F16" i="8"/>
  <c r="F14" i="7"/>
  <c r="G14" i="7" s="1"/>
  <c r="F14" i="6"/>
  <c r="F12" i="4"/>
  <c r="G12" i="4" s="1"/>
  <c r="F12" i="3"/>
  <c r="F12" i="2"/>
  <c r="G12" i="2" s="1"/>
  <c r="G14" i="6"/>
  <c r="G12" i="3"/>
  <c r="G13" i="9"/>
  <c r="G16" i="8"/>
  <c r="F11" i="11"/>
  <c r="F11" i="10"/>
  <c r="F12" i="9"/>
  <c r="F15" i="8"/>
  <c r="F13" i="6"/>
  <c r="G13" i="6" s="1"/>
  <c r="F11" i="4"/>
  <c r="F11" i="3"/>
  <c r="G11" i="3" s="1"/>
  <c r="F11" i="2"/>
  <c r="G11" i="2" s="1"/>
  <c r="G11" i="10"/>
  <c r="G12" i="9"/>
  <c r="F10" i="2"/>
  <c r="F10" i="3"/>
  <c r="F10" i="4"/>
  <c r="F12" i="6"/>
  <c r="F14" i="8"/>
  <c r="F10" i="9"/>
  <c r="G11" i="11"/>
  <c r="G15" i="8"/>
  <c r="G11" i="4"/>
  <c r="F13" i="7"/>
  <c r="G13" i="7"/>
  <c r="G2" i="11" l="1"/>
  <c r="G2" i="10"/>
  <c r="B11" i="1"/>
  <c r="B3" i="12"/>
  <c r="G11" i="9" l="1"/>
  <c r="G12" i="6" l="1"/>
  <c r="G10" i="3"/>
  <c r="F10" i="11"/>
  <c r="G10" i="11" s="1"/>
  <c r="F10" i="10"/>
  <c r="G10" i="10" s="1"/>
  <c r="G10" i="9"/>
  <c r="G14" i="8"/>
  <c r="F12" i="7"/>
  <c r="G10" i="4"/>
  <c r="G10" i="2"/>
  <c r="G9" i="4"/>
  <c r="G9" i="9"/>
  <c r="G9" i="10"/>
  <c r="F13" i="8"/>
  <c r="G13" i="8" s="1"/>
  <c r="F9" i="11"/>
  <c r="G9" i="11" s="1"/>
  <c r="F9" i="10"/>
  <c r="F9" i="9"/>
  <c r="F11" i="6"/>
  <c r="G11" i="6" s="1"/>
  <c r="F9" i="4"/>
  <c r="F9" i="3"/>
  <c r="G9" i="3" s="1"/>
  <c r="F9" i="2"/>
  <c r="G9" i="2" s="1"/>
  <c r="G12" i="8"/>
  <c r="G11" i="8"/>
  <c r="G9" i="8" l="1"/>
  <c r="G10" i="8"/>
  <c r="F9" i="7"/>
  <c r="C9" i="7"/>
  <c r="F7" i="11"/>
  <c r="G7" i="11" s="1"/>
  <c r="F7" i="10"/>
  <c r="G7" i="10" s="1"/>
  <c r="F7" i="9"/>
  <c r="G7" i="9" s="1"/>
  <c r="G7" i="8"/>
  <c r="F7" i="8"/>
  <c r="F7" i="7"/>
  <c r="G7" i="7" s="1"/>
  <c r="G9" i="6"/>
  <c r="F9" i="6"/>
  <c r="F7" i="4"/>
  <c r="G7" i="4" s="1"/>
  <c r="G7" i="3"/>
  <c r="F7" i="3"/>
  <c r="F7" i="2"/>
  <c r="G7" i="2" s="1"/>
  <c r="F7" i="6"/>
  <c r="F10" i="6" s="1"/>
  <c r="G5" i="11"/>
  <c r="F5" i="11"/>
  <c r="F8" i="11" s="1"/>
  <c r="F5" i="10"/>
  <c r="G5" i="10" s="1"/>
  <c r="F5" i="9"/>
  <c r="G5" i="9" s="1"/>
  <c r="F5" i="8"/>
  <c r="F5" i="7"/>
  <c r="G7" i="6"/>
  <c r="F5" i="4"/>
  <c r="G5" i="4" s="1"/>
  <c r="F5" i="3"/>
  <c r="G5" i="3" s="1"/>
  <c r="F5" i="2"/>
  <c r="G5" i="2" s="1"/>
  <c r="E2" i="11"/>
  <c r="D2" i="11"/>
  <c r="C2" i="11"/>
  <c r="E2" i="10"/>
  <c r="D2" i="10"/>
  <c r="C2" i="10"/>
  <c r="E2" i="9"/>
  <c r="D2" i="9"/>
  <c r="C2" i="9"/>
  <c r="E2" i="8"/>
  <c r="D2" i="8"/>
  <c r="C2" i="8"/>
  <c r="E2" i="7"/>
  <c r="D2" i="7"/>
  <c r="E2" i="4"/>
  <c r="D2" i="4"/>
  <c r="C2" i="4"/>
  <c r="E2" i="3"/>
  <c r="D2" i="3"/>
  <c r="C2" i="3"/>
  <c r="E2" i="2"/>
  <c r="D2" i="2"/>
  <c r="C2" i="2"/>
  <c r="G6" i="6"/>
  <c r="G5" i="6"/>
  <c r="E2" i="6"/>
  <c r="D2" i="6"/>
  <c r="C2" i="6"/>
  <c r="G4" i="11"/>
  <c r="G4" i="10"/>
  <c r="G4" i="9"/>
  <c r="G4" i="8"/>
  <c r="G4" i="7"/>
  <c r="G4" i="6"/>
  <c r="G4" i="4"/>
  <c r="G4" i="3"/>
  <c r="G4" i="2"/>
  <c r="G8" i="11" l="1"/>
  <c r="C18" i="12" s="1"/>
  <c r="F2" i="11"/>
  <c r="E18" i="12" s="1"/>
  <c r="G10" i="6"/>
  <c r="F2" i="6"/>
  <c r="E13" i="12" s="1"/>
  <c r="C4" i="1"/>
  <c r="F8" i="9"/>
  <c r="G8" i="9" s="1"/>
  <c r="C5" i="1"/>
  <c r="G5" i="7"/>
  <c r="F8" i="7"/>
  <c r="G9" i="7"/>
  <c r="G2" i="7" s="1"/>
  <c r="C14" i="12" s="1"/>
  <c r="F8" i="3"/>
  <c r="F8" i="10"/>
  <c r="G8" i="10" s="1"/>
  <c r="C17" i="12" s="1"/>
  <c r="G5" i="8"/>
  <c r="F8" i="8"/>
  <c r="F8" i="4"/>
  <c r="F8" i="2"/>
  <c r="G2" i="9"/>
  <c r="C16" i="12" s="1"/>
  <c r="C2" i="7"/>
  <c r="F2" i="10"/>
  <c r="E17" i="12" s="1"/>
  <c r="F2" i="9"/>
  <c r="E16" i="12" s="1"/>
  <c r="G2" i="6"/>
  <c r="C13" i="12" s="1"/>
  <c r="B4" i="1"/>
  <c r="B5" i="1"/>
  <c r="G8" i="7"/>
  <c r="F2" i="7"/>
  <c r="G8" i="8"/>
  <c r="G2" i="8" s="1"/>
  <c r="C15" i="12" s="1"/>
  <c r="F2" i="8"/>
  <c r="E15" i="12" s="1"/>
  <c r="B3" i="1" l="1"/>
  <c r="B4" i="12" s="1"/>
  <c r="B6" i="12" s="1"/>
  <c r="E14" i="12"/>
  <c r="C3" i="1"/>
  <c r="G8" i="4"/>
  <c r="G2" i="4" s="1"/>
  <c r="C12" i="12" s="1"/>
  <c r="F2" i="4"/>
  <c r="E12" i="12" s="1"/>
  <c r="G8" i="3"/>
  <c r="C11" i="12" s="1"/>
  <c r="F2" i="3"/>
  <c r="E11" i="12" s="1"/>
  <c r="G8" i="2"/>
  <c r="C10" i="12" s="1"/>
  <c r="F2" i="2"/>
  <c r="B8" i="1" l="1"/>
  <c r="B5" i="12"/>
  <c r="C6" i="1"/>
  <c r="C8" i="1" s="1"/>
  <c r="E10" i="12"/>
  <c r="E21" i="12" s="1"/>
  <c r="C21" i="12"/>
  <c r="D10" i="12" s="1"/>
  <c r="B7" i="12" l="1"/>
  <c r="D16" i="12"/>
  <c r="D15" i="12"/>
  <c r="D14" i="12"/>
  <c r="D12" i="12"/>
  <c r="D13" i="12"/>
  <c r="D17" i="12"/>
  <c r="D18" i="12"/>
  <c r="D11" i="12"/>
  <c r="D21" i="12" l="1"/>
</calcChain>
</file>

<file path=xl/sharedStrings.xml><?xml version="1.0" encoding="utf-8"?>
<sst xmlns="http://schemas.openxmlformats.org/spreadsheetml/2006/main" count="212" uniqueCount="62">
  <si>
    <t>Varley (Crys)</t>
  </si>
  <si>
    <t>Roberts (Unc)</t>
  </si>
  <si>
    <t>Ellis (Unc)</t>
  </si>
  <si>
    <t>Deakin (Unc)</t>
  </si>
  <si>
    <t>Initial</t>
  </si>
  <si>
    <t>Skywatch</t>
  </si>
  <si>
    <t>Cash</t>
  </si>
  <si>
    <t>Total</t>
  </si>
  <si>
    <t>Reforestation Group</t>
  </si>
  <si>
    <t>Reforest</t>
  </si>
  <si>
    <t>Malletts</t>
  </si>
  <si>
    <t>Roberts (Cry)</t>
  </si>
  <si>
    <t>Ellis (Cry)</t>
  </si>
  <si>
    <t>Assets</t>
  </si>
  <si>
    <t>Mallets</t>
  </si>
  <si>
    <t xml:space="preserve">Crystallisation </t>
  </si>
  <si>
    <t>(£4379.49 PCLS)</t>
  </si>
  <si>
    <t>£323.70 Bank Interest (£52,915.93 balance)</t>
  </si>
  <si>
    <t>Investment Return - assume Skywatch?</t>
  </si>
  <si>
    <t>£51,753.67 return on £30,500 total initial</t>
  </si>
  <si>
    <t>(£2112 PCLS)</t>
  </si>
  <si>
    <t>£165.72 Bank Interest (£104,993.30 balance)</t>
  </si>
  <si>
    <t>(PCLS)</t>
  </si>
  <si>
    <t>Fees (£3,600)</t>
  </si>
  <si>
    <t>Fees (£3,600) - taken from crystallised pot</t>
  </si>
  <si>
    <t>£418.34 Interest</t>
  </si>
  <si>
    <t>Death Benefits</t>
  </si>
  <si>
    <t>Heavisides (Death Benefits)</t>
  </si>
  <si>
    <t>Total cash at bank</t>
  </si>
  <si>
    <t>Total investments (inc Malletts)</t>
  </si>
  <si>
    <t>Total fund value</t>
  </si>
  <si>
    <t>Members</t>
  </si>
  <si>
    <t>Date of Birth</t>
  </si>
  <si>
    <t>Individual Fund Value</t>
  </si>
  <si>
    <t>Individual Fund Split</t>
  </si>
  <si>
    <t>Individual Fund Value Minus Malletts</t>
  </si>
  <si>
    <t>Totals</t>
  </si>
  <si>
    <t>P Varley Limited Pension Scheme</t>
  </si>
  <si>
    <t>Patrick Varley (Crystallised)</t>
  </si>
  <si>
    <t>Peter Roberts (Crystallised)</t>
  </si>
  <si>
    <t>Peter Roberts (Uncrystallised)</t>
  </si>
  <si>
    <t>Bernard Ellis (Uncrystallised)</t>
  </si>
  <si>
    <t>Bernard Ellis (Crystallised)</t>
  </si>
  <si>
    <t>Andrew Heavisides (Death Benefits)</t>
  </si>
  <si>
    <t>David Deakin (Uncrystallised)</t>
  </si>
  <si>
    <t>Given Value</t>
  </si>
  <si>
    <t>Calculated Value</t>
  </si>
  <si>
    <t>Running Values</t>
  </si>
  <si>
    <t>Total investments (excluding Malletts)</t>
  </si>
  <si>
    <t>Total fund value (excluding Malletts)</t>
  </si>
  <si>
    <t>Barnes (Ex Pownall) (Cry)</t>
  </si>
  <si>
    <t>Beverley Barnes (Ex Pownall) (Crystallised)</t>
  </si>
  <si>
    <t>£358.27 Interest</t>
  </si>
  <si>
    <t>Fees (£3,150)</t>
  </si>
  <si>
    <t>Fee</t>
  </si>
  <si>
    <t>Wallington (Crys)</t>
  </si>
  <si>
    <t>Crystallisation</t>
  </si>
  <si>
    <t>David Wallington (Crystallised))</t>
  </si>
  <si>
    <t>Pensions Regulator Fees</t>
  </si>
  <si>
    <t>£109.51 Interest</t>
  </si>
  <si>
    <t>Full Crystallisation</t>
  </si>
  <si>
    <t>£4.32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</si>
</sst>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14" fontId="0" fillId="0" borderId="0" xfId="0" applyNumberForma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F053D-873E-4A9A-978A-A8703BBADF7C}">
  <dimension ref="A1:E21"/>
  <sheetViews>
    <sheetView workbookViewId="0">
      <selection activeCell="B3" sqref="B3"/>
    </sheetView>
  </sheetViews>
  <sheetFormatPr defaultRowHeight="15" x14ac:dyDescent="0.25"/>
  <cols>
    <col min="1" max="1" width="39.5703125" customWidth="1"/>
    <col min="2" max="2" width="13.42578125" customWidth="1"/>
    <col min="3" max="3" width="20.7109375" customWidth="1"/>
    <col min="4" max="4" width="20" customWidth="1"/>
    <col min="5" max="5" width="18.5703125" customWidth="1"/>
  </cols>
  <sheetData>
    <row r="1" spans="1:5" x14ac:dyDescent="0.25">
      <c r="A1" s="3" t="s">
        <v>37</v>
      </c>
      <c r="B1" s="4">
        <v>44231</v>
      </c>
      <c r="C1" s="3"/>
      <c r="D1" s="3"/>
    </row>
    <row r="2" spans="1:5" x14ac:dyDescent="0.25">
      <c r="A2" s="5"/>
      <c r="B2" s="6"/>
      <c r="C2" s="5"/>
      <c r="D2" s="5"/>
    </row>
    <row r="3" spans="1:5" x14ac:dyDescent="0.25">
      <c r="A3" s="3" t="s">
        <v>28</v>
      </c>
      <c r="B3" s="8">
        <f>'Overall Assets'!B6</f>
        <v>40355.71</v>
      </c>
      <c r="C3" s="5"/>
      <c r="D3" s="5"/>
    </row>
    <row r="4" spans="1:5" x14ac:dyDescent="0.25">
      <c r="A4" s="8" t="s">
        <v>29</v>
      </c>
      <c r="B4" s="8">
        <f>'Overall Assets'!B3+'Overall Assets'!B4+'Overall Assets'!B5</f>
        <v>420000.00083999999</v>
      </c>
      <c r="C4" s="6"/>
      <c r="D4" s="6"/>
    </row>
    <row r="5" spans="1:5" x14ac:dyDescent="0.25">
      <c r="A5" s="6" t="s">
        <v>48</v>
      </c>
      <c r="B5" s="6">
        <f>'Overall Assets'!C3+'Overall Assets'!C4</f>
        <v>300000.00083999999</v>
      </c>
      <c r="C5" s="6"/>
      <c r="D5" s="6"/>
    </row>
    <row r="6" spans="1:5" x14ac:dyDescent="0.25">
      <c r="A6" s="7" t="s">
        <v>30</v>
      </c>
      <c r="B6" s="8">
        <f>SUM(B3:B4)</f>
        <v>460355.71084000001</v>
      </c>
      <c r="C6" s="9"/>
      <c r="D6" s="9"/>
    </row>
    <row r="7" spans="1:5" x14ac:dyDescent="0.25">
      <c r="A7" s="5" t="s">
        <v>49</v>
      </c>
      <c r="B7" s="6">
        <f>'Overall Assets'!C3+'Overall Assets'!C4+'Overall Assets'!C6</f>
        <v>340355.72146591207</v>
      </c>
      <c r="C7" s="5"/>
      <c r="D7" s="5"/>
    </row>
    <row r="8" spans="1:5" ht="45" x14ac:dyDescent="0.25">
      <c r="A8" s="3" t="s">
        <v>31</v>
      </c>
      <c r="B8" s="3" t="s">
        <v>32</v>
      </c>
      <c r="C8" s="8" t="s">
        <v>33</v>
      </c>
      <c r="D8" s="3" t="s">
        <v>34</v>
      </c>
      <c r="E8" s="10" t="s">
        <v>35</v>
      </c>
    </row>
    <row r="9" spans="1:5" x14ac:dyDescent="0.25">
      <c r="A9" s="6"/>
      <c r="B9" s="6"/>
      <c r="C9" s="6"/>
      <c r="D9" s="6"/>
    </row>
    <row r="10" spans="1:5" x14ac:dyDescent="0.25">
      <c r="A10" s="6" t="s">
        <v>38</v>
      </c>
      <c r="B10" s="11"/>
      <c r="C10" s="6">
        <f>'Varley (Cry)'!G2</f>
        <v>21331.97987226622</v>
      </c>
      <c r="D10" s="9">
        <f>C10/C21</f>
        <v>4.6338035735362937E-2</v>
      </c>
      <c r="E10" s="2">
        <f>'Varley (Cry)'!C2+'Varley (Cry)'!D2+'Varley (Cry)'!F2</f>
        <v>15331.97987226622</v>
      </c>
    </row>
    <row r="11" spans="1:5" x14ac:dyDescent="0.25">
      <c r="A11" s="6" t="s">
        <v>40</v>
      </c>
      <c r="B11" s="11"/>
      <c r="C11" s="6">
        <f>'Roberts (Unc)'!G2</f>
        <v>29921.354891522937</v>
      </c>
      <c r="D11" s="9">
        <f>C11/C21</f>
        <v>6.4996161655695897E-2</v>
      </c>
      <c r="E11" s="2">
        <f>'Roberts (Unc)'!C2+'Roberts (Unc)'!D2+'Roberts (Unc)'!F2</f>
        <v>22414.154891522936</v>
      </c>
    </row>
    <row r="12" spans="1:5" x14ac:dyDescent="0.25">
      <c r="A12" s="6" t="s">
        <v>39</v>
      </c>
      <c r="B12" s="11"/>
      <c r="C12" s="6">
        <f>'Roberts (Cry)'!G2</f>
        <v>65734.25676706784</v>
      </c>
      <c r="D12" s="9">
        <f>C12/C21</f>
        <v>0.14279013750008374</v>
      </c>
      <c r="E12" s="2">
        <f>'Roberts (Cry)'!C2+'Roberts (Cry)'!D2+'Roberts (Cry)'!F2</f>
        <v>49241.456767067866</v>
      </c>
    </row>
    <row r="13" spans="1:5" x14ac:dyDescent="0.25">
      <c r="A13" s="6" t="s">
        <v>51</v>
      </c>
      <c r="B13" s="11"/>
      <c r="C13" s="6">
        <f>'Barnes (Ex Pownall) (Cry)'!G2</f>
        <v>78909.62462465369</v>
      </c>
      <c r="D13" s="9">
        <f>C13/C21</f>
        <v>0.17141010949832783</v>
      </c>
      <c r="E13" s="2">
        <f>'Barnes (Ex Pownall) (Cry)'!C2+'Barnes (Ex Pownall) (Cry)'!D2+'Barnes (Ex Pownall) (Cry)'!F2</f>
        <v>54909.624624653698</v>
      </c>
    </row>
    <row r="14" spans="1:5" x14ac:dyDescent="0.25">
      <c r="A14" s="6" t="s">
        <v>41</v>
      </c>
      <c r="B14" s="11"/>
      <c r="C14" s="6">
        <f>'Ellis (Unc)'!G2</f>
        <v>5791.6273799790843</v>
      </c>
      <c r="D14" s="9">
        <f>C14/C21</f>
        <v>1.2580765503547536E-2</v>
      </c>
      <c r="E14" s="2">
        <f>'Ellis (Unc)'!C2+'Ellis (Unc)'!D2+'Ellis (Unc)'!F2</f>
        <v>-35.872620020919328</v>
      </c>
    </row>
    <row r="15" spans="1:5" x14ac:dyDescent="0.25">
      <c r="A15" s="9" t="s">
        <v>42</v>
      </c>
      <c r="B15" s="11"/>
      <c r="C15" s="6">
        <f>'Ellis (Cry)'!G2</f>
        <v>64481.641805253385</v>
      </c>
      <c r="D15" s="9">
        <f>C15/C21</f>
        <v>0.14006916564417687</v>
      </c>
      <c r="E15" s="2">
        <f>'Ellis (Cry)'!C2+'Ellis (Cry)'!D2+'Ellis (Cry)'!F2</f>
        <v>45309.141805253392</v>
      </c>
    </row>
    <row r="16" spans="1:5" x14ac:dyDescent="0.25">
      <c r="A16" s="9" t="s">
        <v>43</v>
      </c>
      <c r="B16" s="11"/>
      <c r="C16" s="6">
        <f>'Heavisides (DB)'!G2</f>
        <v>42262.648951745054</v>
      </c>
      <c r="D16" s="9">
        <f>C16/C21</f>
        <v>9.1804330827404468E-2</v>
      </c>
      <c r="E16" s="2">
        <f>'Heavisides (DB)'!C2+'Heavisides (DB)'!D2+'Heavisides (DB)'!F2</f>
        <v>32262.64895174505</v>
      </c>
    </row>
    <row r="17" spans="1:5" x14ac:dyDescent="0.25">
      <c r="A17" s="9" t="s">
        <v>57</v>
      </c>
      <c r="B17" s="11"/>
      <c r="C17" s="6">
        <f>'Wallington (Cry)'!G2</f>
        <v>51863.219103990799</v>
      </c>
      <c r="D17" s="9">
        <f>C17/C21</f>
        <v>0.11265900842688041</v>
      </c>
      <c r="E17" s="2">
        <f>'Wallington (Cry)'!C2+'Wallington (Cry)'!D2+'Wallington (Cry)'!F2</f>
        <v>41863.219103990778</v>
      </c>
    </row>
    <row r="18" spans="1:5" x14ac:dyDescent="0.25">
      <c r="A18" s="9" t="s">
        <v>44</v>
      </c>
      <c r="B18" s="11"/>
      <c r="C18" s="6">
        <f>'Deakin (Unc)'!G2</f>
        <v>100059.36806943304</v>
      </c>
      <c r="D18" s="9">
        <f>C18/C21</f>
        <v>0.21735228520852029</v>
      </c>
      <c r="E18" s="2">
        <f>'Deakin (Unc)'!C2+'Deakin (Unc)'!D2+'Deakin (Unc)'!F2</f>
        <v>79059.368069433025</v>
      </c>
    </row>
    <row r="19" spans="1:5" x14ac:dyDescent="0.25">
      <c r="A19" s="6"/>
      <c r="B19" s="6"/>
      <c r="C19" s="6"/>
      <c r="D19" s="9"/>
      <c r="E19" s="2"/>
    </row>
    <row r="20" spans="1:5" x14ac:dyDescent="0.25">
      <c r="A20" s="3"/>
      <c r="B20" s="5"/>
      <c r="C20" s="6"/>
      <c r="D20" s="9"/>
      <c r="E20" s="2"/>
    </row>
    <row r="21" spans="1:5" x14ac:dyDescent="0.25">
      <c r="A21" s="8" t="s">
        <v>36</v>
      </c>
      <c r="B21" s="6"/>
      <c r="C21" s="8">
        <f>SUM(C10:C19)</f>
        <v>460355.72146591207</v>
      </c>
      <c r="D21" s="7">
        <f>SUM(D10:D19)</f>
        <v>1</v>
      </c>
      <c r="E21" s="13">
        <f>SUM(E10:E19)</f>
        <v>340355.72146591207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E6EAB-A47A-49C8-9025-8039F4F62795}">
  <dimension ref="A1:G16"/>
  <sheetViews>
    <sheetView workbookViewId="0">
      <selection activeCell="G15" sqref="G15:G16"/>
    </sheetView>
  </sheetViews>
  <sheetFormatPr defaultRowHeight="15" x14ac:dyDescent="0.25"/>
  <cols>
    <col min="1" max="1" width="45.5703125" customWidth="1"/>
    <col min="2" max="2" width="18.28515625" customWidth="1"/>
    <col min="3" max="3" width="18" style="2" customWidth="1"/>
    <col min="4" max="5" width="18.5703125" style="2" customWidth="1"/>
    <col min="6" max="6" width="18.28515625" style="2" customWidth="1"/>
    <col min="7" max="7" width="18.5703125" style="2" customWidth="1"/>
  </cols>
  <sheetData>
    <row r="1" spans="1:7" x14ac:dyDescent="0.25">
      <c r="A1" t="s">
        <v>55</v>
      </c>
    </row>
    <row r="2" spans="1:7" x14ac:dyDescent="0.25">
      <c r="A2" s="12" t="s">
        <v>47</v>
      </c>
      <c r="C2" s="13">
        <f>SUM(C4:C20)</f>
        <v>40000</v>
      </c>
      <c r="D2" s="13">
        <f>SUM(D4:D20)</f>
        <v>0</v>
      </c>
      <c r="E2" s="13">
        <f>SUM(E4:E20)</f>
        <v>10000</v>
      </c>
      <c r="F2" s="13">
        <f>SUM(F4:F20)</f>
        <v>1863.2191039907761</v>
      </c>
      <c r="G2" s="13">
        <f>SUM(G4:G21)</f>
        <v>51863.219103990799</v>
      </c>
    </row>
    <row r="3" spans="1:7" x14ac:dyDescent="0.25">
      <c r="C3" s="15" t="s">
        <v>9</v>
      </c>
      <c r="D3" s="15" t="s">
        <v>5</v>
      </c>
      <c r="E3" s="15" t="s">
        <v>10</v>
      </c>
      <c r="F3" s="15" t="s">
        <v>6</v>
      </c>
      <c r="G3" s="15" t="s">
        <v>7</v>
      </c>
    </row>
    <row r="4" spans="1:7" x14ac:dyDescent="0.25">
      <c r="A4" t="s">
        <v>4</v>
      </c>
      <c r="C4" s="2">
        <v>40000</v>
      </c>
      <c r="D4" s="2">
        <v>3644.79</v>
      </c>
      <c r="E4" s="2">
        <v>10000</v>
      </c>
      <c r="F4" s="2">
        <v>13593.29</v>
      </c>
      <c r="G4" s="2">
        <f>SUM(C4:F4)</f>
        <v>67238.080000000002</v>
      </c>
    </row>
    <row r="5" spans="1:7" x14ac:dyDescent="0.25">
      <c r="A5" t="s">
        <v>17</v>
      </c>
      <c r="C5" s="2">
        <v>0</v>
      </c>
      <c r="D5" s="2">
        <v>0</v>
      </c>
      <c r="E5" s="2">
        <v>0</v>
      </c>
      <c r="F5" s="2">
        <f>(F4/52915.93)*323.7</f>
        <v>83.153560241689021</v>
      </c>
      <c r="G5" s="2">
        <f>SUM(C5:F5)</f>
        <v>83.153560241689021</v>
      </c>
    </row>
    <row r="6" spans="1:7" x14ac:dyDescent="0.25">
      <c r="A6" t="s">
        <v>18</v>
      </c>
    </row>
    <row r="7" spans="1:7" x14ac:dyDescent="0.25">
      <c r="A7" t="s">
        <v>19</v>
      </c>
      <c r="B7" s="1">
        <v>42955</v>
      </c>
      <c r="C7" s="2">
        <v>0</v>
      </c>
      <c r="D7" s="2">
        <v>-3644.79</v>
      </c>
      <c r="E7" s="2">
        <v>0</v>
      </c>
      <c r="F7" s="2">
        <f>(3644.79/30500)*51753.67</f>
        <v>6184.6314386655731</v>
      </c>
      <c r="G7" s="2">
        <f t="shared" ref="G7:G12" si="0">SUM(C7:F7)</f>
        <v>2539.8414386655732</v>
      </c>
    </row>
    <row r="8" spans="1:7" x14ac:dyDescent="0.25">
      <c r="A8" t="s">
        <v>21</v>
      </c>
      <c r="B8" s="1">
        <v>43100</v>
      </c>
      <c r="C8" s="2">
        <v>0</v>
      </c>
      <c r="D8" s="2">
        <v>0</v>
      </c>
      <c r="E8" s="2">
        <v>0</v>
      </c>
      <c r="F8" s="2">
        <f>(SUM(F4:F7)/104993.3)*165.72</f>
        <v>31.348451270880258</v>
      </c>
      <c r="G8" s="2">
        <f t="shared" si="0"/>
        <v>31.348451270880258</v>
      </c>
    </row>
    <row r="9" spans="1:7" x14ac:dyDescent="0.25">
      <c r="A9" t="s">
        <v>23</v>
      </c>
      <c r="B9" s="1">
        <v>43434</v>
      </c>
      <c r="C9" s="2">
        <v>0</v>
      </c>
      <c r="D9" s="2">
        <v>0</v>
      </c>
      <c r="E9" s="2">
        <v>0</v>
      </c>
      <c r="F9" s="2">
        <f>-(3600/522305.1)*69892.42</f>
        <v>-481.73512378110036</v>
      </c>
      <c r="G9" s="2">
        <f t="shared" si="0"/>
        <v>-481.73512378110036</v>
      </c>
    </row>
    <row r="10" spans="1:7" x14ac:dyDescent="0.25">
      <c r="A10" t="s">
        <v>25</v>
      </c>
      <c r="B10" s="1">
        <v>43465</v>
      </c>
      <c r="C10" s="2">
        <v>0</v>
      </c>
      <c r="D10" s="2">
        <v>0</v>
      </c>
      <c r="E10" s="2">
        <v>0</v>
      </c>
      <c r="F10" s="2">
        <f>(418.34/98705.1)*19410.69</f>
        <v>82.267968469714319</v>
      </c>
      <c r="G10" s="2">
        <f t="shared" si="0"/>
        <v>82.267968469714319</v>
      </c>
    </row>
    <row r="11" spans="1:7" x14ac:dyDescent="0.25">
      <c r="A11" t="s">
        <v>52</v>
      </c>
      <c r="B11" s="1">
        <v>43830</v>
      </c>
      <c r="C11" s="2">
        <v>0</v>
      </c>
      <c r="D11" s="2">
        <v>0</v>
      </c>
      <c r="E11" s="2">
        <v>0</v>
      </c>
      <c r="F11" s="2">
        <f>(358.27/86623.44)*19492.96</f>
        <v>80.621859154981593</v>
      </c>
      <c r="G11" s="2">
        <f t="shared" si="0"/>
        <v>80.621859154981593</v>
      </c>
    </row>
    <row r="12" spans="1:7" x14ac:dyDescent="0.25">
      <c r="A12" t="s">
        <v>53</v>
      </c>
      <c r="B12" s="1">
        <v>43859</v>
      </c>
      <c r="C12" s="2">
        <v>0</v>
      </c>
      <c r="D12" s="2">
        <v>0</v>
      </c>
      <c r="E12" s="2">
        <v>0</v>
      </c>
      <c r="F12" s="2">
        <f>-(3150/506981.71)*(69573.58)</f>
        <v>-432.27748196281084</v>
      </c>
      <c r="G12" s="2">
        <f t="shared" si="0"/>
        <v>-432.27748196281084</v>
      </c>
    </row>
    <row r="13" spans="1:7" x14ac:dyDescent="0.25">
      <c r="A13" t="s">
        <v>58</v>
      </c>
      <c r="B13" s="16">
        <v>43983</v>
      </c>
      <c r="C13" s="2">
        <v>0</v>
      </c>
      <c r="D13" s="2">
        <v>0</v>
      </c>
      <c r="E13" s="2">
        <v>0</v>
      </c>
      <c r="F13" s="2">
        <f>(29/503831.71)*69138.32</f>
        <v>3.979525782527662</v>
      </c>
      <c r="G13" s="2">
        <f t="shared" ref="G13:G16" si="1">SUM(C13:F13)</f>
        <v>3.979525782527662</v>
      </c>
    </row>
    <row r="14" spans="1:7" x14ac:dyDescent="0.25">
      <c r="A14" t="s">
        <v>56</v>
      </c>
      <c r="B14" s="1">
        <v>43997</v>
      </c>
      <c r="C14" s="2">
        <v>0</v>
      </c>
      <c r="D14" s="2">
        <v>0</v>
      </c>
      <c r="E14" s="2">
        <v>0</v>
      </c>
      <c r="F14" s="2">
        <v>-17285.32</v>
      </c>
      <c r="G14" s="2">
        <f t="shared" si="1"/>
        <v>-17285.32</v>
      </c>
    </row>
    <row r="15" spans="1:7" x14ac:dyDescent="0.25">
      <c r="A15" t="s">
        <v>59</v>
      </c>
      <c r="B15" s="1">
        <v>44196</v>
      </c>
      <c r="C15" s="2">
        <v>0</v>
      </c>
      <c r="D15" s="2">
        <v>0</v>
      </c>
      <c r="E15" s="2">
        <v>0</v>
      </c>
      <c r="F15" s="2">
        <f>(109.51/66575.39)*1859.96</f>
        <v>3.0594521429014541</v>
      </c>
      <c r="G15" s="2">
        <f t="shared" si="1"/>
        <v>3.0594521429014541</v>
      </c>
    </row>
    <row r="16" spans="1:7" x14ac:dyDescent="0.25">
      <c r="A16" t="s">
        <v>61</v>
      </c>
      <c r="B16" s="1">
        <v>44560</v>
      </c>
      <c r="C16" s="2">
        <v>0</v>
      </c>
      <c r="D16" s="2">
        <v>0</v>
      </c>
      <c r="E16" s="2">
        <v>0</v>
      </c>
      <c r="F16" s="2">
        <f>(4.32/40351.39)*1863.02</f>
        <v>0.19945400641712716</v>
      </c>
      <c r="G16" s="2">
        <f t="shared" si="1"/>
        <v>0.19945400641712716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4AF5-A767-4883-96D4-527C9E804DBE}">
  <dimension ref="A1:G16"/>
  <sheetViews>
    <sheetView workbookViewId="0">
      <selection activeCell="G15" sqref="G15:G16"/>
    </sheetView>
  </sheetViews>
  <sheetFormatPr defaultRowHeight="15" x14ac:dyDescent="0.25"/>
  <cols>
    <col min="1" max="1" width="46.5703125" customWidth="1"/>
    <col min="2" max="2" width="18.28515625" customWidth="1"/>
    <col min="3" max="3" width="18.5703125" style="2" customWidth="1"/>
    <col min="4" max="5" width="18.140625" style="2" customWidth="1"/>
    <col min="6" max="7" width="18.5703125" style="2" customWidth="1"/>
  </cols>
  <sheetData>
    <row r="1" spans="1:7" x14ac:dyDescent="0.25">
      <c r="A1" t="s">
        <v>3</v>
      </c>
    </row>
    <row r="2" spans="1:7" x14ac:dyDescent="0.25">
      <c r="A2" s="12" t="s">
        <v>47</v>
      </c>
      <c r="C2" s="13">
        <f>SUM(C4:C21)</f>
        <v>70000</v>
      </c>
      <c r="D2" s="13">
        <f>SUM(D4:D21)</f>
        <v>0</v>
      </c>
      <c r="E2" s="13">
        <f>SUM(E4:E21)</f>
        <v>21000</v>
      </c>
      <c r="F2" s="13">
        <f>SUM(F4:F21)</f>
        <v>9059.3680694330324</v>
      </c>
      <c r="G2" s="13">
        <f>SUM(G4:G20)</f>
        <v>100059.36806943304</v>
      </c>
    </row>
    <row r="3" spans="1:7" x14ac:dyDescent="0.25">
      <c r="C3" s="15" t="s">
        <v>9</v>
      </c>
      <c r="D3" s="15" t="s">
        <v>5</v>
      </c>
      <c r="E3" s="15" t="s">
        <v>10</v>
      </c>
      <c r="F3" s="15" t="s">
        <v>6</v>
      </c>
      <c r="G3" s="15" t="s">
        <v>7</v>
      </c>
    </row>
    <row r="4" spans="1:7" x14ac:dyDescent="0.25">
      <c r="A4" t="s">
        <v>4</v>
      </c>
      <c r="C4" s="2">
        <v>70000</v>
      </c>
      <c r="D4" s="2">
        <v>6530.34</v>
      </c>
      <c r="E4" s="2">
        <v>21000</v>
      </c>
      <c r="F4" s="2">
        <v>25401.74</v>
      </c>
      <c r="G4" s="2">
        <f>SUM(C4:F4)</f>
        <v>122932.08</v>
      </c>
    </row>
    <row r="5" spans="1:7" x14ac:dyDescent="0.25">
      <c r="A5" t="s">
        <v>17</v>
      </c>
      <c r="C5" s="2">
        <v>0</v>
      </c>
      <c r="D5" s="2">
        <v>0</v>
      </c>
      <c r="E5" s="2">
        <v>0</v>
      </c>
      <c r="F5" s="2">
        <f>(F4/52915.93)*323.7</f>
        <v>155.38880707567645</v>
      </c>
      <c r="G5" s="2">
        <f>SUM(C5:F5)</f>
        <v>155.38880707567645</v>
      </c>
    </row>
    <row r="6" spans="1:7" x14ac:dyDescent="0.25">
      <c r="A6" t="s">
        <v>18</v>
      </c>
    </row>
    <row r="7" spans="1:7" x14ac:dyDescent="0.25">
      <c r="A7" t="s">
        <v>19</v>
      </c>
      <c r="B7" s="1">
        <v>42955</v>
      </c>
      <c r="C7" s="2">
        <v>0</v>
      </c>
      <c r="D7" s="2">
        <v>-6530.34</v>
      </c>
      <c r="E7" s="2">
        <v>0</v>
      </c>
      <c r="F7" s="2">
        <f>(6530.34/30500)*51753.67</f>
        <v>11080.952831075409</v>
      </c>
      <c r="G7" s="2">
        <f t="shared" ref="G7:G12" si="0">SUM(C7:F7)</f>
        <v>4550.6128310754084</v>
      </c>
    </row>
    <row r="8" spans="1:7" x14ac:dyDescent="0.25">
      <c r="A8" t="s">
        <v>21</v>
      </c>
      <c r="B8" s="1">
        <v>43100</v>
      </c>
      <c r="C8" s="2">
        <v>0</v>
      </c>
      <c r="D8" s="2">
        <v>0</v>
      </c>
      <c r="E8" s="2">
        <v>0</v>
      </c>
      <c r="F8" s="2">
        <f>(SUM(F4:F7)/104993.3)*165.72</f>
        <v>57.829050892527412</v>
      </c>
      <c r="G8" s="2">
        <f t="shared" si="0"/>
        <v>57.829050892527412</v>
      </c>
    </row>
    <row r="9" spans="1:7" x14ac:dyDescent="0.25">
      <c r="A9" t="s">
        <v>23</v>
      </c>
      <c r="B9" s="1">
        <v>43434</v>
      </c>
      <c r="C9" s="2">
        <v>0</v>
      </c>
      <c r="D9" s="2">
        <v>0</v>
      </c>
      <c r="E9" s="2">
        <v>0</v>
      </c>
      <c r="F9" s="2">
        <f>-(3600/522305.1)*127695.91</f>
        <v>-880.1470175190708</v>
      </c>
      <c r="G9" s="2">
        <f t="shared" si="0"/>
        <v>-880.1470175190708</v>
      </c>
    </row>
    <row r="10" spans="1:7" x14ac:dyDescent="0.25">
      <c r="A10" t="s">
        <v>25</v>
      </c>
      <c r="B10" s="1">
        <v>43465</v>
      </c>
      <c r="C10" s="2">
        <v>0</v>
      </c>
      <c r="D10" s="2">
        <v>0</v>
      </c>
      <c r="E10" s="2">
        <v>0</v>
      </c>
      <c r="F10" s="2">
        <f>(418.34/98705.1)*35815.76</f>
        <v>151.79727327564632</v>
      </c>
      <c r="G10" s="2">
        <f t="shared" si="0"/>
        <v>151.79727327564632</v>
      </c>
    </row>
    <row r="11" spans="1:7" x14ac:dyDescent="0.25">
      <c r="A11" t="s">
        <v>52</v>
      </c>
      <c r="B11" s="1">
        <v>43830</v>
      </c>
      <c r="C11" s="2">
        <v>0</v>
      </c>
      <c r="D11" s="2">
        <v>0</v>
      </c>
      <c r="E11" s="2">
        <v>0</v>
      </c>
      <c r="F11" s="2">
        <f>(358.27/86623.44)*35967.56</f>
        <v>148.75993981767519</v>
      </c>
      <c r="G11" s="2">
        <f t="shared" si="0"/>
        <v>148.75993981767519</v>
      </c>
    </row>
    <row r="12" spans="1:7" x14ac:dyDescent="0.25">
      <c r="A12" t="s">
        <v>53</v>
      </c>
      <c r="B12" s="1">
        <v>43859</v>
      </c>
      <c r="C12" s="2">
        <v>0</v>
      </c>
      <c r="D12" s="2">
        <v>0</v>
      </c>
      <c r="E12" s="2">
        <v>0</v>
      </c>
      <c r="F12" s="2">
        <f>-(3150/506981.71)*(127116.32)</f>
        <v>-789.80444481912377</v>
      </c>
      <c r="G12" s="2">
        <f t="shared" si="0"/>
        <v>-789.80444481912377</v>
      </c>
    </row>
    <row r="13" spans="1:7" x14ac:dyDescent="0.25">
      <c r="A13" t="s">
        <v>58</v>
      </c>
      <c r="B13" s="16">
        <v>43983</v>
      </c>
      <c r="C13" s="2">
        <v>0</v>
      </c>
      <c r="D13" s="2">
        <v>0</v>
      </c>
      <c r="E13" s="2">
        <v>0</v>
      </c>
      <c r="F13" s="2">
        <f>(29/503831.71)*126326.52</f>
        <v>7.2712157795705235</v>
      </c>
      <c r="G13" s="2">
        <f t="shared" ref="G13:G16" si="1">SUM(C13:F13)</f>
        <v>7.2712157795705235</v>
      </c>
    </row>
    <row r="14" spans="1:7" x14ac:dyDescent="0.25">
      <c r="A14" t="s">
        <v>59</v>
      </c>
      <c r="B14" s="1">
        <v>44196</v>
      </c>
      <c r="C14" s="2">
        <v>0</v>
      </c>
      <c r="D14" s="2">
        <v>0</v>
      </c>
      <c r="E14" s="2">
        <v>0</v>
      </c>
      <c r="F14" s="2">
        <f>(109.51/66575.39)*35333.79</f>
        <v>58.120625998585972</v>
      </c>
      <c r="G14" s="2">
        <f t="shared" si="1"/>
        <v>58.120625998585972</v>
      </c>
    </row>
    <row r="15" spans="1:7" x14ac:dyDescent="0.25">
      <c r="A15" t="s">
        <v>60</v>
      </c>
      <c r="B15" s="1">
        <v>44237</v>
      </c>
      <c r="C15" s="2">
        <v>0</v>
      </c>
      <c r="D15" s="2">
        <v>0</v>
      </c>
      <c r="E15" s="2">
        <v>0</v>
      </c>
      <c r="F15" s="2">
        <v>-26333.51</v>
      </c>
      <c r="G15" s="2">
        <f t="shared" si="1"/>
        <v>-26333.51</v>
      </c>
    </row>
    <row r="16" spans="1:7" x14ac:dyDescent="0.25">
      <c r="A16" t="s">
        <v>61</v>
      </c>
      <c r="B16" s="1">
        <v>44560</v>
      </c>
      <c r="C16" s="2">
        <v>0</v>
      </c>
      <c r="D16" s="2">
        <v>0</v>
      </c>
      <c r="E16" s="2">
        <v>0</v>
      </c>
      <c r="F16" s="2">
        <f>(4.32/40351.39)*9058.4</f>
        <v>0.9697878561308545</v>
      </c>
      <c r="G16" s="2">
        <f t="shared" si="1"/>
        <v>0.9697878561308545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8F13-4F59-4C31-9E22-B7BDA7970171}">
  <dimension ref="A1:C11"/>
  <sheetViews>
    <sheetView tabSelected="1" workbookViewId="0">
      <selection activeCell="C19" sqref="C19"/>
    </sheetView>
  </sheetViews>
  <sheetFormatPr defaultRowHeight="15" x14ac:dyDescent="0.25"/>
  <cols>
    <col min="1" max="1" width="36.85546875" customWidth="1"/>
    <col min="2" max="2" width="18.140625" style="2" customWidth="1"/>
    <col min="3" max="3" width="18.5703125" style="2" customWidth="1"/>
    <col min="4" max="5" width="18.5703125" customWidth="1"/>
    <col min="6" max="7" width="18.42578125" customWidth="1"/>
    <col min="8" max="11" width="18.140625" customWidth="1"/>
    <col min="12" max="15" width="18.28515625" customWidth="1"/>
    <col min="16" max="17" width="18.140625" customWidth="1"/>
    <col min="18" max="19" width="18.5703125" customWidth="1"/>
    <col min="20" max="21" width="18" customWidth="1"/>
    <col min="22" max="22" width="18.7109375" customWidth="1"/>
    <col min="23" max="23" width="18.42578125" customWidth="1"/>
    <col min="24" max="24" width="18.7109375" customWidth="1"/>
    <col min="25" max="25" width="18.5703125" customWidth="1"/>
  </cols>
  <sheetData>
    <row r="1" spans="1:3" x14ac:dyDescent="0.25">
      <c r="A1" t="s">
        <v>13</v>
      </c>
      <c r="B1" s="2" t="s">
        <v>45</v>
      </c>
      <c r="C1" s="2" t="s">
        <v>46</v>
      </c>
    </row>
    <row r="3" spans="1:3" x14ac:dyDescent="0.25">
      <c r="A3" t="s">
        <v>8</v>
      </c>
      <c r="B3" s="2">
        <f>'Varley (Cry)'!C2+'Roberts (Unc)'!C2+'Roberts (Cry)'!C2+'Barnes (Ex Pownall) (Cry)'!C2+'Ellis (Unc)'!C2+'Ellis (Cry)'!C2+'Heavisides (DB)'!C2+'Wallington (Cry)'!C2+'Deakin (Unc)'!C2</f>
        <v>300000.00083999999</v>
      </c>
      <c r="C3" s="2">
        <f>'Varley (Cry)'!C2+'Roberts (Unc)'!C2+'Roberts (Cry)'!C2+'Barnes (Ex Pownall) (Cry)'!C2+'Ellis (Unc)'!C2+'Ellis (Cry)'!C2+'Heavisides (DB)'!C2+'Wallington (Cry)'!C2+'Deakin (Unc)'!C2</f>
        <v>300000.00083999999</v>
      </c>
    </row>
    <row r="4" spans="1:3" x14ac:dyDescent="0.25">
      <c r="A4" t="s">
        <v>5</v>
      </c>
      <c r="B4" s="2">
        <f>'Varley (Cry)'!D2+'Roberts (Unc)'!D2+'Roberts (Cry)'!D2+'Barnes (Ex Pownall) (Cry)'!D2+'Ellis (Unc)'!D2+'Ellis (Cry)'!D2+'Heavisides (DB)'!D2+'Wallington (Cry)'!D2+'Deakin (Unc)'!D2</f>
        <v>-9.0949470177292824E-13</v>
      </c>
      <c r="C4" s="2">
        <f>'Varley (Cry)'!D2+'Roberts (Unc)'!D2+'Roberts (Cry)'!D2+'Barnes (Ex Pownall) (Cry)'!D2+'Ellis (Unc)'!D2+'Ellis (Cry)'!D2+'Heavisides (DB)'!D2+'Wallington (Cry)'!D2+'Deakin (Unc)'!D2</f>
        <v>-9.0949470177292824E-13</v>
      </c>
    </row>
    <row r="5" spans="1:3" x14ac:dyDescent="0.25">
      <c r="A5" t="s">
        <v>14</v>
      </c>
      <c r="B5" s="2">
        <f>'Varley (Cry)'!E2+'Roberts (Unc)'!E2+'Roberts (Cry)'!E2+'Barnes (Ex Pownall) (Cry)'!E2+'Ellis (Unc)'!E2+'Ellis (Cry)'!E2+'Heavisides (DB)'!E2+'Wallington (Cry)'!E2+'Deakin (Unc)'!E2</f>
        <v>120000</v>
      </c>
      <c r="C5" s="2">
        <f>'Varley (Cry)'!E2+'Roberts (Unc)'!E2+'Roberts (Cry)'!E2+'Barnes (Ex Pownall) (Cry)'!E2+'Ellis (Unc)'!E2+'Ellis (Cry)'!E2+'Heavisides (DB)'!E2+'Wallington (Cry)'!E2+'Deakin (Unc)'!E2</f>
        <v>120000</v>
      </c>
    </row>
    <row r="6" spans="1:3" x14ac:dyDescent="0.25">
      <c r="A6" t="s">
        <v>6</v>
      </c>
      <c r="B6" s="2">
        <v>40355.71</v>
      </c>
      <c r="C6" s="2">
        <f>'Varley (Cry)'!F2+'Roberts (Unc)'!F2+'Roberts (Cry)'!F2+'Barnes (Ex Pownall) (Cry)'!F2+'Ellis (Unc)'!F2+'Ellis (Cry)'!F2+'Heavisides (DB)'!F2+'Wallington (Cry)'!F2+'Deakin (Unc)'!F2</f>
        <v>40355.720625912043</v>
      </c>
    </row>
    <row r="8" spans="1:3" x14ac:dyDescent="0.25">
      <c r="A8" t="s">
        <v>7</v>
      </c>
      <c r="B8" s="2">
        <f>SUM(B3:B6)</f>
        <v>460355.71084000001</v>
      </c>
      <c r="C8" s="2">
        <f>SUM(C3:C6)</f>
        <v>460355.72146591207</v>
      </c>
    </row>
    <row r="11" spans="1:3" x14ac:dyDescent="0.25">
      <c r="A11" t="s">
        <v>54</v>
      </c>
      <c r="B11" s="2">
        <f>'Varley (Cry)'!F12+'Roberts (Unc)'!F12+'Roberts (Cry)'!F12+'Barnes (Ex Pownall) (Cry)'!F14+'Ellis (Unc)'!F14+'Ellis (Cry)'!F16+'Heavisides (DB)'!F13+'Wallington (Cry)'!F12+'Deakin (Unc)'!F12</f>
        <v>-3149.9996893379048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06E6-233D-4D35-9B43-5E809B4DBB25}">
  <dimension ref="A1:G15"/>
  <sheetViews>
    <sheetView workbookViewId="0">
      <selection activeCell="G14" sqref="G14:G15"/>
    </sheetView>
  </sheetViews>
  <sheetFormatPr defaultRowHeight="15" x14ac:dyDescent="0.25"/>
  <cols>
    <col min="1" max="1" width="45.140625" customWidth="1"/>
    <col min="2" max="2" width="18.140625" customWidth="1"/>
    <col min="3" max="3" width="18" style="2" customWidth="1"/>
    <col min="4" max="5" width="18.28515625" style="2" customWidth="1"/>
    <col min="6" max="6" width="18" style="2" customWidth="1"/>
    <col min="7" max="7" width="18.140625" style="2" customWidth="1"/>
    <col min="8" max="8" width="18.42578125" customWidth="1"/>
  </cols>
  <sheetData>
    <row r="1" spans="1:7" x14ac:dyDescent="0.25">
      <c r="A1" t="s">
        <v>0</v>
      </c>
    </row>
    <row r="2" spans="1:7" x14ac:dyDescent="0.25">
      <c r="A2" s="12" t="s">
        <v>47</v>
      </c>
      <c r="B2" s="12"/>
      <c r="C2" s="13">
        <f>SUM(C4:C21)</f>
        <v>10000</v>
      </c>
      <c r="D2" s="13">
        <f>SUM(D4:D21)</f>
        <v>0</v>
      </c>
      <c r="E2" s="13">
        <f>SUM(E4:E21)</f>
        <v>6000</v>
      </c>
      <c r="F2" s="13">
        <f>SUM(F4:F21)</f>
        <v>5331.979872266219</v>
      </c>
      <c r="G2" s="13">
        <f>SUM(G4:G20)</f>
        <v>21331.97987226622</v>
      </c>
    </row>
    <row r="3" spans="1:7" s="14" customFormat="1" x14ac:dyDescent="0.25">
      <c r="C3" s="15" t="s">
        <v>9</v>
      </c>
      <c r="D3" s="15" t="s">
        <v>5</v>
      </c>
      <c r="E3" s="15" t="s">
        <v>10</v>
      </c>
      <c r="F3" s="15" t="s">
        <v>6</v>
      </c>
      <c r="G3" s="15" t="s">
        <v>7</v>
      </c>
    </row>
    <row r="4" spans="1:7" x14ac:dyDescent="0.25">
      <c r="A4" t="s">
        <v>4</v>
      </c>
      <c r="C4" s="2">
        <v>10000</v>
      </c>
      <c r="D4" s="2">
        <v>1221.67</v>
      </c>
      <c r="E4" s="2">
        <v>6000</v>
      </c>
      <c r="F4" s="2">
        <v>3455.05</v>
      </c>
      <c r="G4" s="2">
        <f>SUM(C4:F4)</f>
        <v>20676.719999999998</v>
      </c>
    </row>
    <row r="5" spans="1:7" x14ac:dyDescent="0.25">
      <c r="A5" t="s">
        <v>17</v>
      </c>
      <c r="C5" s="2">
        <v>0</v>
      </c>
      <c r="D5" s="2">
        <v>0</v>
      </c>
      <c r="E5" s="2">
        <v>0</v>
      </c>
      <c r="F5" s="2">
        <f>(F4/52915.93)*323.7</f>
        <v>21.135406388964533</v>
      </c>
      <c r="G5" s="2">
        <f>SUM(C5:F5)</f>
        <v>21.135406388964533</v>
      </c>
    </row>
    <row r="6" spans="1:7" x14ac:dyDescent="0.25">
      <c r="A6" t="s">
        <v>18</v>
      </c>
    </row>
    <row r="7" spans="1:7" x14ac:dyDescent="0.25">
      <c r="A7" t="s">
        <v>19</v>
      </c>
      <c r="B7" s="1">
        <v>42955</v>
      </c>
      <c r="C7" s="2">
        <v>0</v>
      </c>
      <c r="D7" s="2">
        <v>-1221.67</v>
      </c>
      <c r="E7" s="2">
        <v>0</v>
      </c>
      <c r="F7" s="2">
        <f>(1221.67/30500)*51753.67</f>
        <v>2072.980525537705</v>
      </c>
      <c r="G7" s="2">
        <f t="shared" ref="G7:G11" si="0">SUM(C7:F7)</f>
        <v>851.31052553770496</v>
      </c>
    </row>
    <row r="8" spans="1:7" x14ac:dyDescent="0.25">
      <c r="A8" t="s">
        <v>21</v>
      </c>
      <c r="B8" s="1">
        <v>43100</v>
      </c>
      <c r="C8" s="2">
        <v>0</v>
      </c>
      <c r="D8" s="2">
        <v>0</v>
      </c>
      <c r="E8" s="2">
        <v>0</v>
      </c>
      <c r="F8" s="2">
        <f>(SUM(F4:F7)/104993.3)*165.72</f>
        <v>8.7587282068368886</v>
      </c>
      <c r="G8" s="2">
        <f t="shared" si="0"/>
        <v>8.7587282068368886</v>
      </c>
    </row>
    <row r="9" spans="1:7" x14ac:dyDescent="0.25">
      <c r="A9" t="s">
        <v>23</v>
      </c>
      <c r="B9" s="1">
        <v>43434</v>
      </c>
      <c r="C9" s="2">
        <v>0</v>
      </c>
      <c r="D9" s="2">
        <v>0</v>
      </c>
      <c r="E9" s="2">
        <v>0</v>
      </c>
      <c r="F9" s="2">
        <f>-(3600/522305.1)*21557.92</f>
        <v>-148.58846295010329</v>
      </c>
      <c r="G9" s="2">
        <f t="shared" si="0"/>
        <v>-148.58846295010329</v>
      </c>
    </row>
    <row r="10" spans="1:7" x14ac:dyDescent="0.25">
      <c r="A10" t="s">
        <v>25</v>
      </c>
      <c r="B10" s="1">
        <v>43465</v>
      </c>
      <c r="C10" s="2">
        <v>0</v>
      </c>
      <c r="D10" s="2">
        <v>0</v>
      </c>
      <c r="E10" s="2">
        <v>0</v>
      </c>
      <c r="F10" s="2">
        <f>(418.34/98705.1)*5409.34</f>
        <v>22.926305688358553</v>
      </c>
      <c r="G10" s="2">
        <f t="shared" si="0"/>
        <v>22.926305688358553</v>
      </c>
    </row>
    <row r="11" spans="1:7" x14ac:dyDescent="0.25">
      <c r="A11" t="s">
        <v>52</v>
      </c>
      <c r="B11" s="1">
        <v>43830</v>
      </c>
      <c r="C11" s="2">
        <v>0</v>
      </c>
      <c r="D11" s="2">
        <v>0</v>
      </c>
      <c r="E11" s="2">
        <v>0</v>
      </c>
      <c r="F11" s="2">
        <f>(358.27/86623.44)*5432.26</f>
        <v>22.467542159489394</v>
      </c>
      <c r="G11" s="2">
        <f t="shared" si="0"/>
        <v>22.467542159489394</v>
      </c>
    </row>
    <row r="12" spans="1:7" x14ac:dyDescent="0.25">
      <c r="A12" t="s">
        <v>53</v>
      </c>
      <c r="B12" s="1">
        <v>43859</v>
      </c>
      <c r="C12" s="2">
        <v>0</v>
      </c>
      <c r="D12" s="2">
        <v>0</v>
      </c>
      <c r="E12" s="2">
        <v>0</v>
      </c>
      <c r="F12" s="2">
        <f>-(3150/506981.71)*(21454.73)</f>
        <v>-133.30342725776043</v>
      </c>
      <c r="G12" s="2">
        <f t="shared" ref="G12:G15" si="1">SUM(C12:F12)</f>
        <v>-133.30342725776043</v>
      </c>
    </row>
    <row r="13" spans="1:7" x14ac:dyDescent="0.25">
      <c r="A13" t="s">
        <v>58</v>
      </c>
      <c r="B13" s="16">
        <v>43983</v>
      </c>
      <c r="C13" s="2">
        <v>0</v>
      </c>
      <c r="D13" s="2">
        <v>0</v>
      </c>
      <c r="E13" s="2">
        <v>0</v>
      </c>
      <c r="F13" s="2">
        <f>(29/503831.71)*21321.43</f>
        <v>1.2272380990073053</v>
      </c>
      <c r="G13" s="2">
        <f t="shared" si="1"/>
        <v>1.2272380990073053</v>
      </c>
    </row>
    <row r="14" spans="1:7" x14ac:dyDescent="0.25">
      <c r="A14" t="s">
        <v>59</v>
      </c>
      <c r="B14" s="1">
        <v>44196</v>
      </c>
      <c r="C14" s="2">
        <v>0</v>
      </c>
      <c r="D14" s="2">
        <v>0</v>
      </c>
      <c r="E14" s="2">
        <v>0</v>
      </c>
      <c r="F14" s="2">
        <f>(109.51/66575.39)*5322.65</f>
        <v>8.7552382569595171</v>
      </c>
      <c r="G14" s="2">
        <f t="shared" si="1"/>
        <v>8.7552382569595171</v>
      </c>
    </row>
    <row r="15" spans="1:7" x14ac:dyDescent="0.25">
      <c r="A15" t="s">
        <v>61</v>
      </c>
      <c r="B15" s="1">
        <v>44560</v>
      </c>
      <c r="C15" s="2">
        <v>0</v>
      </c>
      <c r="D15" s="2">
        <v>0</v>
      </c>
      <c r="E15" s="2">
        <v>0</v>
      </c>
      <c r="F15" s="2">
        <f>(4.32/40351.39)*5331.41</f>
        <v>0.57077813676307065</v>
      </c>
      <c r="G15" s="2">
        <f t="shared" si="1"/>
        <v>0.57077813676307065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71DF0-2448-4B2C-95D5-164CCC25767A}">
  <dimension ref="A1:G15"/>
  <sheetViews>
    <sheetView workbookViewId="0">
      <selection activeCell="E22" sqref="E22"/>
    </sheetView>
  </sheetViews>
  <sheetFormatPr defaultRowHeight="15" x14ac:dyDescent="0.25"/>
  <cols>
    <col min="1" max="1" width="46.7109375" customWidth="1"/>
    <col min="2" max="2" width="18.140625" customWidth="1"/>
    <col min="3" max="3" width="18" style="2" customWidth="1"/>
    <col min="4" max="4" width="18.140625" style="2" customWidth="1"/>
    <col min="5" max="5" width="18.42578125" style="2" customWidth="1"/>
    <col min="6" max="6" width="18.28515625" style="2" customWidth="1"/>
    <col min="7" max="7" width="18.140625" style="2" customWidth="1"/>
  </cols>
  <sheetData>
    <row r="1" spans="1:7" x14ac:dyDescent="0.25">
      <c r="A1" t="s">
        <v>1</v>
      </c>
    </row>
    <row r="2" spans="1:7" x14ac:dyDescent="0.25">
      <c r="A2" s="12" t="s">
        <v>47</v>
      </c>
      <c r="B2" s="12"/>
      <c r="C2" s="13">
        <f>SUM(C4:C21)</f>
        <v>18768</v>
      </c>
      <c r="D2" s="13">
        <f>SUM(D4:D21)</f>
        <v>0</v>
      </c>
      <c r="E2" s="13">
        <f>SUM(E4:E21)</f>
        <v>7507.2</v>
      </c>
      <c r="F2" s="13">
        <f>SUM(F4:F21)</f>
        <v>3646.1548915229355</v>
      </c>
      <c r="G2" s="13">
        <f>SUM(G4:G21)</f>
        <v>29921.354891522937</v>
      </c>
    </row>
    <row r="3" spans="1:7" s="14" customFormat="1" x14ac:dyDescent="0.25">
      <c r="C3" s="15" t="s">
        <v>9</v>
      </c>
      <c r="D3" s="15" t="s">
        <v>5</v>
      </c>
      <c r="E3" s="15" t="s">
        <v>10</v>
      </c>
      <c r="F3" s="15" t="s">
        <v>6</v>
      </c>
      <c r="G3" s="15" t="s">
        <v>7</v>
      </c>
    </row>
    <row r="4" spans="1:7" x14ac:dyDescent="0.25">
      <c r="A4" t="s">
        <v>4</v>
      </c>
      <c r="C4" s="2">
        <v>18768</v>
      </c>
      <c r="D4" s="2">
        <v>1890.9</v>
      </c>
      <c r="E4" s="2">
        <v>7507.2</v>
      </c>
      <c r="F4" s="2">
        <v>782.28</v>
      </c>
      <c r="G4" s="2">
        <f>SUM(C4:F4)</f>
        <v>28948.38</v>
      </c>
    </row>
    <row r="5" spans="1:7" x14ac:dyDescent="0.25">
      <c r="A5" t="s">
        <v>17</v>
      </c>
      <c r="C5" s="2">
        <v>0</v>
      </c>
      <c r="D5" s="2">
        <v>0</v>
      </c>
      <c r="E5" s="2">
        <v>0</v>
      </c>
      <c r="F5" s="2">
        <f>(F4/52915.93)*323.7</f>
        <v>4.7854027322207129</v>
      </c>
      <c r="G5" s="2">
        <f>SUM(C5:F5)</f>
        <v>4.7854027322207129</v>
      </c>
    </row>
    <row r="6" spans="1:7" x14ac:dyDescent="0.25">
      <c r="A6" t="s">
        <v>18</v>
      </c>
    </row>
    <row r="7" spans="1:7" x14ac:dyDescent="0.25">
      <c r="A7" t="s">
        <v>19</v>
      </c>
      <c r="B7" s="1">
        <v>42955</v>
      </c>
      <c r="C7" s="2">
        <v>0</v>
      </c>
      <c r="D7" s="2">
        <v>-1890.9</v>
      </c>
      <c r="E7" s="2">
        <v>0</v>
      </c>
      <c r="F7" s="2">
        <f>(1890.9/30500)*51753.67</f>
        <v>3208.5578558360658</v>
      </c>
      <c r="G7" s="2">
        <f t="shared" ref="G7:G12" si="0">SUM(C7:F7)</f>
        <v>1317.6578558360657</v>
      </c>
    </row>
    <row r="8" spans="1:7" x14ac:dyDescent="0.25">
      <c r="A8" t="s">
        <v>21</v>
      </c>
      <c r="B8" s="1">
        <v>43100</v>
      </c>
      <c r="C8" s="2">
        <v>0</v>
      </c>
      <c r="D8" s="2">
        <v>0</v>
      </c>
      <c r="E8" s="2">
        <v>0</v>
      </c>
      <c r="F8" s="2">
        <f>(SUM(F4:F7)/104993.3)*165.72</f>
        <v>6.3066375322038297</v>
      </c>
      <c r="G8" s="2">
        <f t="shared" si="0"/>
        <v>6.3066375322038297</v>
      </c>
    </row>
    <row r="9" spans="1:7" x14ac:dyDescent="0.25">
      <c r="A9" t="s">
        <v>23</v>
      </c>
      <c r="B9" s="1">
        <v>43434</v>
      </c>
      <c r="C9" s="2">
        <v>0</v>
      </c>
      <c r="D9" s="2">
        <v>0</v>
      </c>
      <c r="E9" s="2">
        <v>0</v>
      </c>
      <c r="F9" s="2">
        <f>-(3600/522305.1)*30277.13</f>
        <v>-208.68581983978331</v>
      </c>
      <c r="G9" s="2">
        <f t="shared" si="0"/>
        <v>-208.68581983978331</v>
      </c>
    </row>
    <row r="10" spans="1:7" x14ac:dyDescent="0.25">
      <c r="A10" t="s">
        <v>25</v>
      </c>
      <c r="B10" s="1">
        <v>43465</v>
      </c>
      <c r="C10" s="2">
        <v>0</v>
      </c>
      <c r="D10" s="2">
        <v>0</v>
      </c>
      <c r="E10" s="2">
        <v>0</v>
      </c>
      <c r="F10" s="2">
        <f>(418.34/98705.1)*3793.24</f>
        <v>16.076818944512489</v>
      </c>
      <c r="G10" s="2">
        <f t="shared" si="0"/>
        <v>16.076818944512489</v>
      </c>
    </row>
    <row r="11" spans="1:7" x14ac:dyDescent="0.25">
      <c r="A11" t="s">
        <v>52</v>
      </c>
      <c r="B11" s="1">
        <v>43830</v>
      </c>
      <c r="C11" s="2">
        <v>0</v>
      </c>
      <c r="D11" s="2">
        <v>0</v>
      </c>
      <c r="E11" s="2">
        <v>0</v>
      </c>
      <c r="F11" s="2">
        <f>(358.27/86623.44)*3809.32</f>
        <v>15.755147525889067</v>
      </c>
      <c r="G11" s="2">
        <f t="shared" si="0"/>
        <v>15.755147525889067</v>
      </c>
    </row>
    <row r="12" spans="1:7" x14ac:dyDescent="0.25">
      <c r="A12" t="s">
        <v>53</v>
      </c>
      <c r="B12" s="1">
        <v>43859</v>
      </c>
      <c r="C12" s="2">
        <v>0</v>
      </c>
      <c r="D12" s="2">
        <v>0</v>
      </c>
      <c r="E12" s="2">
        <v>0</v>
      </c>
      <c r="F12" s="2">
        <f>-(3150/506981.71)*(30100.28)</f>
        <v>-187.02032071334483</v>
      </c>
      <c r="G12" s="2">
        <f t="shared" si="0"/>
        <v>-187.02032071334483</v>
      </c>
    </row>
    <row r="13" spans="1:7" x14ac:dyDescent="0.25">
      <c r="A13" t="s">
        <v>58</v>
      </c>
      <c r="B13" s="16">
        <v>43983</v>
      </c>
      <c r="C13" s="2">
        <v>0</v>
      </c>
      <c r="D13" s="2">
        <v>0</v>
      </c>
      <c r="E13" s="2">
        <v>0</v>
      </c>
      <c r="F13" s="2">
        <f>(29/503831.71)*29913.26</f>
        <v>1.7217743996303843</v>
      </c>
      <c r="G13" s="2">
        <f t="shared" ref="G13:G15" si="1">SUM(C13:F13)</f>
        <v>1.7217743996303843</v>
      </c>
    </row>
    <row r="14" spans="1:7" x14ac:dyDescent="0.25">
      <c r="A14" t="s">
        <v>59</v>
      </c>
      <c r="B14" s="1">
        <v>44196</v>
      </c>
      <c r="C14" s="2">
        <v>0</v>
      </c>
      <c r="D14" s="2">
        <v>0</v>
      </c>
      <c r="E14" s="2">
        <v>0</v>
      </c>
      <c r="F14" s="2">
        <f>(109.51/66575.39)*3639.78</f>
        <v>5.9870818300876651</v>
      </c>
      <c r="G14" s="2">
        <f t="shared" si="1"/>
        <v>5.9870818300876651</v>
      </c>
    </row>
    <row r="15" spans="1:7" x14ac:dyDescent="0.25">
      <c r="A15" t="s">
        <v>61</v>
      </c>
      <c r="B15" s="1">
        <v>44560</v>
      </c>
      <c r="C15" s="2">
        <v>0</v>
      </c>
      <c r="D15" s="2">
        <v>0</v>
      </c>
      <c r="E15" s="2">
        <v>0</v>
      </c>
      <c r="F15" s="2">
        <f>(4.32/40351.39)*3645.76</f>
        <v>0.39031327545346023</v>
      </c>
      <c r="G15" s="2">
        <f t="shared" si="1"/>
        <v>0.39031327545346023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7126-9E52-4EA7-802C-B597DF8B6442}">
  <dimension ref="A1:G15"/>
  <sheetViews>
    <sheetView workbookViewId="0">
      <selection activeCell="G14" sqref="G14:G15"/>
    </sheetView>
  </sheetViews>
  <sheetFormatPr defaultRowHeight="15" x14ac:dyDescent="0.25"/>
  <cols>
    <col min="1" max="1" width="46.42578125" customWidth="1"/>
    <col min="2" max="2" width="18.28515625" customWidth="1"/>
    <col min="3" max="4" width="18.140625" style="2" customWidth="1"/>
    <col min="5" max="5" width="18.42578125" style="2" customWidth="1"/>
    <col min="6" max="6" width="18.28515625" style="2" customWidth="1"/>
    <col min="7" max="7" width="18.42578125" style="2" customWidth="1"/>
  </cols>
  <sheetData>
    <row r="1" spans="1:7" x14ac:dyDescent="0.25">
      <c r="A1" t="s">
        <v>11</v>
      </c>
    </row>
    <row r="2" spans="1:7" x14ac:dyDescent="0.25">
      <c r="A2" s="12" t="s">
        <v>47</v>
      </c>
      <c r="B2" s="12"/>
      <c r="C2" s="13">
        <f>SUM(C4:C21)</f>
        <v>41232</v>
      </c>
      <c r="D2" s="13">
        <f>SUM(D4:D21)</f>
        <v>0</v>
      </c>
      <c r="E2" s="13">
        <f>SUM(E4:E21)</f>
        <v>16492.8</v>
      </c>
      <c r="F2" s="13">
        <f>SUM(F4:F21)</f>
        <v>8009.4567670678653</v>
      </c>
      <c r="G2" s="13">
        <f>SUM(G4:G21)</f>
        <v>65734.25676706784</v>
      </c>
    </row>
    <row r="3" spans="1:7" s="14" customFormat="1" x14ac:dyDescent="0.25">
      <c r="C3" s="15" t="s">
        <v>9</v>
      </c>
      <c r="D3" s="15" t="s">
        <v>5</v>
      </c>
      <c r="E3" s="15" t="s">
        <v>10</v>
      </c>
      <c r="F3" s="15" t="s">
        <v>6</v>
      </c>
      <c r="G3" s="15" t="s">
        <v>7</v>
      </c>
    </row>
    <row r="4" spans="1:7" x14ac:dyDescent="0.25">
      <c r="A4" t="s">
        <v>4</v>
      </c>
      <c r="C4" s="2">
        <v>41232</v>
      </c>
      <c r="D4" s="2">
        <v>4154.18</v>
      </c>
      <c r="E4" s="2">
        <v>16492.8</v>
      </c>
      <c r="F4" s="2">
        <v>1717.72</v>
      </c>
      <c r="G4" s="2">
        <f>SUM(C4:F4)</f>
        <v>63596.7</v>
      </c>
    </row>
    <row r="5" spans="1:7" x14ac:dyDescent="0.25">
      <c r="A5" t="s">
        <v>17</v>
      </c>
      <c r="C5" s="2">
        <v>0</v>
      </c>
      <c r="D5" s="2">
        <v>0</v>
      </c>
      <c r="E5" s="2">
        <v>0</v>
      </c>
      <c r="F5" s="2">
        <f>(F4/52915.93)*323.7</f>
        <v>10.507723553190884</v>
      </c>
      <c r="G5" s="2">
        <f>SUM(C5:F5)</f>
        <v>10.507723553190884</v>
      </c>
    </row>
    <row r="6" spans="1:7" x14ac:dyDescent="0.25">
      <c r="A6" t="s">
        <v>18</v>
      </c>
    </row>
    <row r="7" spans="1:7" x14ac:dyDescent="0.25">
      <c r="A7" t="s">
        <v>19</v>
      </c>
      <c r="B7" s="1">
        <v>42955</v>
      </c>
      <c r="C7" s="2">
        <v>0</v>
      </c>
      <c r="D7" s="2">
        <v>-4154.18</v>
      </c>
      <c r="E7" s="2">
        <v>0</v>
      </c>
      <c r="F7" s="2">
        <f>(4154.18/30500)*51753.67</f>
        <v>7048.9856013311473</v>
      </c>
      <c r="G7" s="2">
        <f t="shared" ref="G7:G12" si="0">SUM(C7:F7)</f>
        <v>2894.805601331147</v>
      </c>
    </row>
    <row r="8" spans="1:7" x14ac:dyDescent="0.25">
      <c r="A8" t="s">
        <v>21</v>
      </c>
      <c r="B8" s="1">
        <v>43100</v>
      </c>
      <c r="C8" s="2">
        <v>0</v>
      </c>
      <c r="D8" s="2">
        <v>0</v>
      </c>
      <c r="E8" s="2">
        <v>0</v>
      </c>
      <c r="F8" s="2">
        <f>(SUM(F4:F7)/104993.3)*165.72</f>
        <v>13.853834408479708</v>
      </c>
      <c r="G8" s="2">
        <f t="shared" si="0"/>
        <v>13.853834408479708</v>
      </c>
    </row>
    <row r="9" spans="1:7" x14ac:dyDescent="0.25">
      <c r="A9" t="s">
        <v>23</v>
      </c>
      <c r="B9" s="1">
        <v>43434</v>
      </c>
      <c r="C9" s="2">
        <v>0</v>
      </c>
      <c r="D9" s="2">
        <v>0</v>
      </c>
      <c r="E9" s="2">
        <v>0</v>
      </c>
      <c r="F9" s="2">
        <f>-(3600/522305.1)*66515.87</f>
        <v>-458.46217469444582</v>
      </c>
      <c r="G9" s="2">
        <f t="shared" si="0"/>
        <v>-458.46217469444582</v>
      </c>
    </row>
    <row r="10" spans="1:7" x14ac:dyDescent="0.25">
      <c r="A10" t="s">
        <v>25</v>
      </c>
      <c r="B10" s="1">
        <v>43465</v>
      </c>
      <c r="C10" s="2">
        <v>0</v>
      </c>
      <c r="D10" s="2">
        <v>0</v>
      </c>
      <c r="E10" s="2">
        <v>0</v>
      </c>
      <c r="F10" s="2">
        <f>(418.34/98705.1)*8332.6</f>
        <v>35.315904487204811</v>
      </c>
      <c r="G10" s="2">
        <f t="shared" si="0"/>
        <v>35.315904487204811</v>
      </c>
    </row>
    <row r="11" spans="1:7" x14ac:dyDescent="0.25">
      <c r="A11" t="s">
        <v>52</v>
      </c>
      <c r="B11" s="1">
        <v>43830</v>
      </c>
      <c r="C11" s="2">
        <v>0</v>
      </c>
      <c r="D11" s="2">
        <v>0</v>
      </c>
      <c r="E11" s="2">
        <v>0</v>
      </c>
      <c r="F11" s="2">
        <f>(358.27/86623.44)*8367.92</f>
        <v>34.60927779363184</v>
      </c>
      <c r="G11" s="2">
        <f t="shared" si="0"/>
        <v>34.60927779363184</v>
      </c>
    </row>
    <row r="12" spans="1:7" x14ac:dyDescent="0.25">
      <c r="A12" t="s">
        <v>53</v>
      </c>
      <c r="B12" s="1">
        <v>43859</v>
      </c>
      <c r="C12" s="2">
        <v>0</v>
      </c>
      <c r="D12" s="2">
        <v>0</v>
      </c>
      <c r="E12" s="2">
        <v>0</v>
      </c>
      <c r="F12" s="2">
        <f>-(3150/506981.71)*(66127.33)</f>
        <v>-410.86509708604672</v>
      </c>
      <c r="G12" s="2">
        <f t="shared" si="0"/>
        <v>-410.86509708604672</v>
      </c>
    </row>
    <row r="13" spans="1:7" x14ac:dyDescent="0.25">
      <c r="A13" t="s">
        <v>58</v>
      </c>
      <c r="B13" s="16">
        <v>43983</v>
      </c>
      <c r="C13" s="2">
        <v>0</v>
      </c>
      <c r="D13" s="2">
        <v>0</v>
      </c>
      <c r="E13" s="2">
        <v>0</v>
      </c>
      <c r="F13" s="2">
        <f>(29/503831.71)*65716.47</f>
        <v>3.7825678538573921</v>
      </c>
      <c r="G13" s="2">
        <f t="shared" ref="G13:G15" si="1">SUM(C13:F13)</f>
        <v>3.7825678538573921</v>
      </c>
    </row>
    <row r="14" spans="1:7" x14ac:dyDescent="0.25">
      <c r="A14" t="s">
        <v>59</v>
      </c>
      <c r="B14" s="1">
        <v>44196</v>
      </c>
      <c r="C14" s="2">
        <v>0</v>
      </c>
      <c r="D14" s="2">
        <v>0</v>
      </c>
      <c r="E14" s="2">
        <v>0</v>
      </c>
      <c r="F14" s="2">
        <f>(109.51/66575.39)*7995.45</f>
        <v>13.151732637240279</v>
      </c>
      <c r="G14" s="2">
        <f t="shared" si="1"/>
        <v>13.151732637240279</v>
      </c>
    </row>
    <row r="15" spans="1:7" x14ac:dyDescent="0.25">
      <c r="A15" t="s">
        <v>61</v>
      </c>
      <c r="B15" s="1">
        <v>44560</v>
      </c>
      <c r="C15" s="2">
        <v>0</v>
      </c>
      <c r="D15" s="2">
        <v>0</v>
      </c>
      <c r="E15" s="2">
        <v>0</v>
      </c>
      <c r="F15" s="2">
        <f>(4.32/40351.39)*8008.6</f>
        <v>0.85739678360522409</v>
      </c>
      <c r="G15" s="2">
        <f t="shared" si="1"/>
        <v>0.85739678360522409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A3850-EA94-43B5-A260-750C712A9173}">
  <dimension ref="A1:G17"/>
  <sheetViews>
    <sheetView workbookViewId="0">
      <selection activeCell="G16" sqref="G16:G17"/>
    </sheetView>
  </sheetViews>
  <sheetFormatPr defaultRowHeight="15" x14ac:dyDescent="0.25"/>
  <cols>
    <col min="1" max="1" width="45.5703125" customWidth="1"/>
    <col min="2" max="2" width="18.140625" customWidth="1"/>
    <col min="3" max="3" width="18.28515625" style="2" customWidth="1"/>
    <col min="4" max="4" width="18.42578125" style="2" customWidth="1"/>
    <col min="5" max="5" width="18.28515625" style="2" customWidth="1"/>
    <col min="6" max="6" width="18.140625" style="2" customWidth="1"/>
    <col min="7" max="7" width="18.28515625" style="2" customWidth="1"/>
  </cols>
  <sheetData>
    <row r="1" spans="1:7" x14ac:dyDescent="0.25">
      <c r="A1" t="s">
        <v>50</v>
      </c>
    </row>
    <row r="2" spans="1:7" s="12" customFormat="1" x14ac:dyDescent="0.25">
      <c r="A2" s="12" t="s">
        <v>47</v>
      </c>
      <c r="C2" s="13">
        <f>SUM(C4:C21)</f>
        <v>50000</v>
      </c>
      <c r="D2" s="13">
        <f>SUM(D4:D21)</f>
        <v>-9.0949470177292824E-13</v>
      </c>
      <c r="E2" s="13">
        <f>SUM(E4:E21)</f>
        <v>24000</v>
      </c>
      <c r="F2" s="13">
        <f>SUM(F4:F21)</f>
        <v>4909.6246246536957</v>
      </c>
      <c r="G2" s="13">
        <f>SUM(G4:G21)</f>
        <v>78909.62462465369</v>
      </c>
    </row>
    <row r="3" spans="1:7" s="14" customFormat="1" x14ac:dyDescent="0.25">
      <c r="C3" s="15" t="s">
        <v>9</v>
      </c>
      <c r="D3" s="15" t="s">
        <v>5</v>
      </c>
      <c r="E3" s="15" t="s">
        <v>10</v>
      </c>
      <c r="F3" s="15" t="s">
        <v>6</v>
      </c>
      <c r="G3" s="15" t="s">
        <v>7</v>
      </c>
    </row>
    <row r="4" spans="1:7" x14ac:dyDescent="0.25">
      <c r="A4" t="s">
        <v>4</v>
      </c>
      <c r="C4" s="2">
        <v>39120</v>
      </c>
      <c r="D4" s="2">
        <v>4230.45</v>
      </c>
      <c r="E4" s="2">
        <v>18777.599999999999</v>
      </c>
      <c r="F4" s="2">
        <v>871.95</v>
      </c>
      <c r="G4" s="2">
        <f>SUM(C4:F4)</f>
        <v>62999.999999999993</v>
      </c>
    </row>
    <row r="5" spans="1:7" x14ac:dyDescent="0.25">
      <c r="A5" t="s">
        <v>15</v>
      </c>
      <c r="B5" s="1">
        <v>42661</v>
      </c>
      <c r="C5" s="2">
        <v>10880</v>
      </c>
      <c r="D5" s="2">
        <v>1176.57</v>
      </c>
      <c r="E5" s="2">
        <v>5222.3999999999996</v>
      </c>
      <c r="F5" s="2">
        <v>238.98</v>
      </c>
      <c r="G5" s="2">
        <f>SUM(C5:F5)</f>
        <v>17517.95</v>
      </c>
    </row>
    <row r="6" spans="1:7" x14ac:dyDescent="0.25">
      <c r="A6" t="s">
        <v>16</v>
      </c>
      <c r="C6" s="2">
        <v>0</v>
      </c>
      <c r="D6" s="2">
        <v>0</v>
      </c>
      <c r="E6" s="2">
        <v>0</v>
      </c>
      <c r="F6" s="2">
        <v>-4379.49</v>
      </c>
      <c r="G6" s="2">
        <f>SUM(C6:F6)</f>
        <v>-4379.49</v>
      </c>
    </row>
    <row r="7" spans="1:7" x14ac:dyDescent="0.25">
      <c r="A7" t="s">
        <v>17</v>
      </c>
      <c r="C7" s="2">
        <v>0</v>
      </c>
      <c r="D7" s="2">
        <v>0</v>
      </c>
      <c r="E7" s="2">
        <v>0</v>
      </c>
      <c r="F7" s="2">
        <f>(-3268.56/52915.93)*323.7</f>
        <v>-19.994600340577968</v>
      </c>
      <c r="G7" s="2">
        <f>SUM(C7:F7)</f>
        <v>-19.994600340577968</v>
      </c>
    </row>
    <row r="8" spans="1:7" x14ac:dyDescent="0.25">
      <c r="A8" t="s">
        <v>18</v>
      </c>
    </row>
    <row r="9" spans="1:7" x14ac:dyDescent="0.25">
      <c r="A9" t="s">
        <v>19</v>
      </c>
      <c r="B9" s="1">
        <v>42955</v>
      </c>
      <c r="C9" s="2">
        <v>0</v>
      </c>
      <c r="D9" s="2">
        <v>-5407.02</v>
      </c>
      <c r="E9" s="2">
        <v>0</v>
      </c>
      <c r="F9" s="2">
        <f>(5407.02/30500)*51753.67</f>
        <v>9174.8566807672141</v>
      </c>
      <c r="G9" s="2">
        <f t="shared" ref="G9:G14" si="0">SUM(C9:F9)</f>
        <v>3767.8366807672137</v>
      </c>
    </row>
    <row r="10" spans="1:7" x14ac:dyDescent="0.25">
      <c r="A10" t="s">
        <v>21</v>
      </c>
      <c r="B10" s="1">
        <v>43100</v>
      </c>
      <c r="C10" s="2">
        <v>0</v>
      </c>
      <c r="D10" s="2">
        <v>0</v>
      </c>
      <c r="E10" s="2">
        <v>0</v>
      </c>
      <c r="F10" s="2">
        <f>(SUM(F4:F9)/104993.3)*165.72</f>
        <v>9.2908593288171915</v>
      </c>
      <c r="G10" s="2">
        <f t="shared" si="0"/>
        <v>9.2908593288171915</v>
      </c>
    </row>
    <row r="11" spans="1:7" x14ac:dyDescent="0.25">
      <c r="A11" t="s">
        <v>23</v>
      </c>
      <c r="B11" s="1">
        <v>43434</v>
      </c>
      <c r="C11" s="2">
        <v>0</v>
      </c>
      <c r="D11" s="2">
        <v>0</v>
      </c>
      <c r="E11" s="2">
        <v>0</v>
      </c>
      <c r="F11" s="2">
        <f>-(3600/522305.1)*79895.59</f>
        <v>-550.6822047113842</v>
      </c>
      <c r="G11" s="2">
        <f t="shared" si="0"/>
        <v>-550.6822047113842</v>
      </c>
    </row>
    <row r="12" spans="1:7" x14ac:dyDescent="0.25">
      <c r="A12" t="s">
        <v>25</v>
      </c>
      <c r="B12" s="1">
        <v>43465</v>
      </c>
      <c r="C12" s="2">
        <v>0</v>
      </c>
      <c r="D12" s="2">
        <v>0</v>
      </c>
      <c r="E12" s="2">
        <v>0</v>
      </c>
      <c r="F12" s="2">
        <f>(418.34/98705.1)*5344.91</f>
        <v>22.653233210847258</v>
      </c>
      <c r="G12" s="2">
        <f t="shared" si="0"/>
        <v>22.653233210847258</v>
      </c>
    </row>
    <row r="13" spans="1:7" x14ac:dyDescent="0.25">
      <c r="A13" t="s">
        <v>52</v>
      </c>
      <c r="B13" s="1">
        <v>43830</v>
      </c>
      <c r="C13" s="2">
        <v>0</v>
      </c>
      <c r="D13" s="2">
        <v>0</v>
      </c>
      <c r="E13" s="2">
        <v>0</v>
      </c>
      <c r="F13" s="2">
        <f>(358.27/86623.44)*5367.56</f>
        <v>22.199946356321107</v>
      </c>
      <c r="G13" s="2">
        <f t="shared" si="0"/>
        <v>22.199946356321107</v>
      </c>
    </row>
    <row r="14" spans="1:7" x14ac:dyDescent="0.25">
      <c r="A14" t="s">
        <v>53</v>
      </c>
      <c r="B14" s="1">
        <v>43859</v>
      </c>
      <c r="C14" s="2">
        <v>0</v>
      </c>
      <c r="D14" s="2">
        <v>0</v>
      </c>
      <c r="E14" s="2">
        <v>0</v>
      </c>
      <c r="F14" s="2">
        <f>-(3150/506981.71)*(79389.76)</f>
        <v>-493.26778277662117</v>
      </c>
      <c r="G14" s="2">
        <f t="shared" si="0"/>
        <v>-493.26778277662117</v>
      </c>
    </row>
    <row r="15" spans="1:7" x14ac:dyDescent="0.25">
      <c r="A15" t="s">
        <v>58</v>
      </c>
      <c r="B15" s="16">
        <v>43983</v>
      </c>
      <c r="C15" s="2">
        <v>0</v>
      </c>
      <c r="D15" s="2">
        <v>0</v>
      </c>
      <c r="E15" s="2">
        <v>0</v>
      </c>
      <c r="F15" s="2">
        <f>(29/503831.71)*78896.5</f>
        <v>4.5411959084512565</v>
      </c>
      <c r="G15" s="2">
        <f t="shared" ref="G15:G17" si="1">SUM(C15:F15)</f>
        <v>4.5411959084512565</v>
      </c>
    </row>
    <row r="16" spans="1:7" x14ac:dyDescent="0.25">
      <c r="A16" t="s">
        <v>59</v>
      </c>
      <c r="B16" s="1">
        <v>44196</v>
      </c>
      <c r="C16" s="2">
        <v>0</v>
      </c>
      <c r="D16" s="2">
        <v>0</v>
      </c>
      <c r="E16" s="2">
        <v>0</v>
      </c>
      <c r="F16" s="2">
        <f>(109.51/66575.39)*4901.04</f>
        <v>8.0617310751014752</v>
      </c>
      <c r="G16" s="2">
        <f t="shared" si="1"/>
        <v>8.0617310751014752</v>
      </c>
    </row>
    <row r="17" spans="1:7" x14ac:dyDescent="0.25">
      <c r="A17" t="s">
        <v>61</v>
      </c>
      <c r="B17" s="1">
        <v>44560</v>
      </c>
      <c r="C17" s="2">
        <v>0</v>
      </c>
      <c r="D17" s="2">
        <v>0</v>
      </c>
      <c r="E17" s="2">
        <v>0</v>
      </c>
      <c r="F17" s="2">
        <f>(4.32/40351.39)*4909.1</f>
        <v>0.52556583552635983</v>
      </c>
      <c r="G17" s="2">
        <f t="shared" si="1"/>
        <v>0.52556583552635983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D581C-6A82-49C5-A294-5C0BCF3F5AC7}">
  <dimension ref="A1:G17"/>
  <sheetViews>
    <sheetView workbookViewId="0">
      <selection activeCell="G16" sqref="G16:G17"/>
    </sheetView>
  </sheetViews>
  <sheetFormatPr defaultRowHeight="15" x14ac:dyDescent="0.25"/>
  <cols>
    <col min="1" max="1" width="46.28515625" customWidth="1"/>
    <col min="2" max="2" width="18.28515625" customWidth="1"/>
    <col min="3" max="3" width="18.28515625" style="2" customWidth="1"/>
    <col min="4" max="5" width="18.42578125" style="2" customWidth="1"/>
    <col min="6" max="6" width="18.140625" style="2" customWidth="1"/>
    <col min="7" max="7" width="18.5703125" style="2" customWidth="1"/>
  </cols>
  <sheetData>
    <row r="1" spans="1:7" x14ac:dyDescent="0.25">
      <c r="A1" t="s">
        <v>2</v>
      </c>
    </row>
    <row r="2" spans="1:7" x14ac:dyDescent="0.25">
      <c r="A2" s="12" t="s">
        <v>47</v>
      </c>
      <c r="C2" s="13">
        <f>SUM(C4:C20)</f>
        <v>8.3999999924344593E-4</v>
      </c>
      <c r="D2" s="13">
        <f>SUM(D4:D20)</f>
        <v>0</v>
      </c>
      <c r="E2" s="13">
        <f>SUM(E4:E20)</f>
        <v>5827.5</v>
      </c>
      <c r="F2" s="13">
        <f>SUM(F4:F20)</f>
        <v>-35.873460020918571</v>
      </c>
      <c r="G2" s="13">
        <f>SUM(G4:G20)</f>
        <v>5791.6273799790843</v>
      </c>
    </row>
    <row r="3" spans="1:7" s="14" customFormat="1" x14ac:dyDescent="0.25">
      <c r="C3" s="15" t="s">
        <v>9</v>
      </c>
      <c r="D3" s="15" t="s">
        <v>5</v>
      </c>
      <c r="E3" s="15" t="s">
        <v>10</v>
      </c>
      <c r="F3" s="15" t="s">
        <v>6</v>
      </c>
      <c r="G3" s="15" t="s">
        <v>7</v>
      </c>
    </row>
    <row r="4" spans="1:7" x14ac:dyDescent="0.25">
      <c r="A4" t="s">
        <v>4</v>
      </c>
      <c r="C4" s="2">
        <v>9324</v>
      </c>
      <c r="D4" s="2">
        <v>1104.51</v>
      </c>
      <c r="E4" s="2">
        <v>5827.5</v>
      </c>
      <c r="F4" s="2">
        <v>215.32</v>
      </c>
      <c r="G4" s="2">
        <f>SUM(C4:F4)</f>
        <v>16471.330000000002</v>
      </c>
    </row>
    <row r="5" spans="1:7" x14ac:dyDescent="0.25">
      <c r="A5" t="s">
        <v>17</v>
      </c>
      <c r="C5" s="2">
        <v>0</v>
      </c>
      <c r="D5" s="2">
        <v>0</v>
      </c>
      <c r="E5" s="2">
        <v>0</v>
      </c>
      <c r="F5" s="2">
        <f>(F4/52915.93)*323.7</f>
        <v>1.3171663807099296</v>
      </c>
      <c r="G5" s="2">
        <f>SUM(C5:F5)</f>
        <v>1.3171663807099296</v>
      </c>
    </row>
    <row r="6" spans="1:7" x14ac:dyDescent="0.25">
      <c r="A6" t="s">
        <v>18</v>
      </c>
    </row>
    <row r="7" spans="1:7" x14ac:dyDescent="0.25">
      <c r="A7" t="s">
        <v>19</v>
      </c>
      <c r="B7" s="1">
        <v>42955</v>
      </c>
      <c r="C7" s="2">
        <v>0</v>
      </c>
      <c r="D7" s="2">
        <v>-1104.51</v>
      </c>
      <c r="E7" s="2">
        <v>0</v>
      </c>
      <c r="F7" s="2">
        <f>(1104.51/30500)*51753.67</f>
        <v>1874.1785590721311</v>
      </c>
      <c r="G7" s="2">
        <f t="shared" ref="G7:G8" si="0">SUM(C7:F7)</f>
        <v>769.66855907213107</v>
      </c>
    </row>
    <row r="8" spans="1:7" x14ac:dyDescent="0.25">
      <c r="A8" t="s">
        <v>21</v>
      </c>
      <c r="B8" s="1">
        <v>43100</v>
      </c>
      <c r="C8" s="2">
        <v>0</v>
      </c>
      <c r="D8" s="2">
        <v>0</v>
      </c>
      <c r="E8" s="2">
        <v>0</v>
      </c>
      <c r="F8" s="2">
        <f>(SUM(F4:F7)/104993.3)*165.72</f>
        <v>3.3001151694636208</v>
      </c>
      <c r="G8" s="2">
        <f t="shared" si="0"/>
        <v>3.3001151694636208</v>
      </c>
    </row>
    <row r="9" spans="1:7" x14ac:dyDescent="0.25">
      <c r="A9" t="s">
        <v>15</v>
      </c>
      <c r="B9" s="1">
        <v>43040</v>
      </c>
      <c r="C9" s="2">
        <f>-(9324*0.74009)</f>
        <v>-6900.5991600000007</v>
      </c>
      <c r="D9" s="2">
        <v>0</v>
      </c>
      <c r="E9" s="2">
        <v>0</v>
      </c>
      <c r="F9" s="2">
        <f>-(2090.82*0.74009)</f>
        <v>-1547.3949738000001</v>
      </c>
      <c r="G9" s="2">
        <f>SUM(C9:F9)</f>
        <v>-8447.9941338000008</v>
      </c>
    </row>
    <row r="10" spans="1:7" x14ac:dyDescent="0.25">
      <c r="A10" t="s">
        <v>15</v>
      </c>
      <c r="B10" s="1">
        <v>43433</v>
      </c>
      <c r="C10" s="2">
        <v>-2423.4</v>
      </c>
      <c r="D10" s="2">
        <v>0</v>
      </c>
      <c r="E10" s="2">
        <v>0</v>
      </c>
      <c r="F10" s="2">
        <v>-546.72</v>
      </c>
      <c r="G10" s="2">
        <v>-2970.12</v>
      </c>
    </row>
    <row r="11" spans="1:7" x14ac:dyDescent="0.25">
      <c r="A11" t="s">
        <v>24</v>
      </c>
      <c r="B11" s="1">
        <v>43434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</row>
    <row r="12" spans="1:7" x14ac:dyDescent="0.25">
      <c r="A12" t="s">
        <v>25</v>
      </c>
      <c r="B12" s="1">
        <v>43465</v>
      </c>
      <c r="C12" s="2">
        <v>0</v>
      </c>
      <c r="D12" s="2">
        <v>0</v>
      </c>
      <c r="E12" s="2">
        <v>0</v>
      </c>
      <c r="F12" s="2">
        <f>(418.34/98705.1)*0</f>
        <v>0</v>
      </c>
      <c r="G12" s="2">
        <v>0</v>
      </c>
    </row>
    <row r="13" spans="1:7" x14ac:dyDescent="0.25">
      <c r="A13" t="s">
        <v>52</v>
      </c>
      <c r="B13" s="1">
        <v>43830</v>
      </c>
      <c r="C13" s="2">
        <v>0</v>
      </c>
      <c r="D13" s="2">
        <v>0</v>
      </c>
      <c r="E13" s="2">
        <v>0</v>
      </c>
      <c r="F13" s="2">
        <f>(358.27/86623.44)*0</f>
        <v>0</v>
      </c>
      <c r="G13" s="2">
        <f t="shared" ref="G13:G14" si="1">SUM(C13:F13)</f>
        <v>0</v>
      </c>
    </row>
    <row r="14" spans="1:7" x14ac:dyDescent="0.25">
      <c r="A14" t="s">
        <v>53</v>
      </c>
      <c r="B14" s="1">
        <v>43859</v>
      </c>
      <c r="C14" s="2">
        <v>0</v>
      </c>
      <c r="D14" s="2">
        <v>0</v>
      </c>
      <c r="E14" s="2">
        <v>0</v>
      </c>
      <c r="F14" s="2">
        <f>-(3150/506981.71)*(5827.5)</f>
        <v>-36.207667136552125</v>
      </c>
      <c r="G14" s="2">
        <f t="shared" si="1"/>
        <v>-36.207667136552125</v>
      </c>
    </row>
    <row r="15" spans="1:7" x14ac:dyDescent="0.25">
      <c r="A15" t="s">
        <v>58</v>
      </c>
      <c r="B15" s="16">
        <v>43983</v>
      </c>
      <c r="C15" s="2">
        <v>0</v>
      </c>
      <c r="D15" s="2">
        <v>0</v>
      </c>
      <c r="E15" s="2">
        <v>0</v>
      </c>
      <c r="F15" s="2">
        <f>(29/503831.71)*5791.29</f>
        <v>0.33334029332929438</v>
      </c>
      <c r="G15" s="2">
        <f t="shared" ref="G15:G17" si="2">SUM(C15:F15)</f>
        <v>0.33334029332929438</v>
      </c>
    </row>
    <row r="16" spans="1:7" x14ac:dyDescent="0.25">
      <c r="A16" t="s">
        <v>59</v>
      </c>
      <c r="B16" s="1">
        <v>44196</v>
      </c>
      <c r="C16" s="2">
        <v>0</v>
      </c>
      <c r="D16" s="2">
        <v>0</v>
      </c>
      <c r="E16" s="2">
        <v>0</v>
      </c>
      <c r="F16" s="2">
        <f>(109.51/66575.39)*0</f>
        <v>0</v>
      </c>
      <c r="G16" s="2">
        <f t="shared" si="2"/>
        <v>0</v>
      </c>
    </row>
    <row r="17" spans="1:7" x14ac:dyDescent="0.25">
      <c r="A17" t="s">
        <v>61</v>
      </c>
      <c r="B17" s="1">
        <v>44560</v>
      </c>
      <c r="C17" s="2">
        <v>0</v>
      </c>
      <c r="D17" s="2">
        <v>0</v>
      </c>
      <c r="E17" s="2">
        <v>0</v>
      </c>
      <c r="F17" s="2">
        <f>(4.32/40351.39)*0</f>
        <v>0</v>
      </c>
      <c r="G17" s="2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406C-7E10-47BC-BF05-63F7EE7E14B4}">
  <dimension ref="A1:G19"/>
  <sheetViews>
    <sheetView workbookViewId="0">
      <selection activeCell="G18" sqref="G18:G19"/>
    </sheetView>
  </sheetViews>
  <sheetFormatPr defaultRowHeight="15" x14ac:dyDescent="0.25"/>
  <cols>
    <col min="1" max="1" width="45.42578125" customWidth="1"/>
    <col min="2" max="2" width="17.85546875" customWidth="1"/>
    <col min="3" max="3" width="18.140625" style="2" customWidth="1"/>
    <col min="4" max="4" width="18.28515625" style="2" customWidth="1"/>
    <col min="5" max="5" width="18.5703125" style="2" customWidth="1"/>
    <col min="6" max="6" width="18.28515625" style="2" customWidth="1"/>
    <col min="7" max="7" width="18.42578125" style="2" customWidth="1"/>
  </cols>
  <sheetData>
    <row r="1" spans="1:7" x14ac:dyDescent="0.25">
      <c r="A1" t="s">
        <v>12</v>
      </c>
    </row>
    <row r="2" spans="1:7" x14ac:dyDescent="0.25">
      <c r="A2" s="12" t="s">
        <v>47</v>
      </c>
      <c r="B2" s="12"/>
      <c r="C2" s="13">
        <f>SUM(C4:C19)</f>
        <v>40000</v>
      </c>
      <c r="D2" s="13">
        <f>SUM(D4:D19)</f>
        <v>0</v>
      </c>
      <c r="E2" s="13">
        <f>SUM(E4:E19)</f>
        <v>19172.5</v>
      </c>
      <c r="F2" s="13">
        <f>SUM(F4:F19)</f>
        <v>5309.1418052533891</v>
      </c>
      <c r="G2" s="13">
        <f>SUM(G4:G19)</f>
        <v>64481.641805253385</v>
      </c>
    </row>
    <row r="3" spans="1:7" s="14" customFormat="1" x14ac:dyDescent="0.25">
      <c r="C3" s="15" t="s">
        <v>9</v>
      </c>
      <c r="D3" s="15" t="s">
        <v>5</v>
      </c>
      <c r="E3" s="15" t="s">
        <v>10</v>
      </c>
      <c r="F3" s="15" t="s">
        <v>6</v>
      </c>
      <c r="G3" s="15" t="s">
        <v>7</v>
      </c>
    </row>
    <row r="4" spans="1:7" x14ac:dyDescent="0.25">
      <c r="A4" t="s">
        <v>4</v>
      </c>
      <c r="C4" s="2">
        <v>30676</v>
      </c>
      <c r="D4" s="2">
        <v>3633.83</v>
      </c>
      <c r="E4" s="2">
        <v>19172.5</v>
      </c>
      <c r="F4" s="2">
        <v>720.62</v>
      </c>
      <c r="G4" s="2">
        <f>SUM(C4:F4)</f>
        <v>54202.950000000004</v>
      </c>
    </row>
    <row r="5" spans="1:7" x14ac:dyDescent="0.25">
      <c r="A5" t="s">
        <v>17</v>
      </c>
      <c r="C5" s="2">
        <v>0</v>
      </c>
      <c r="D5" s="2">
        <v>0</v>
      </c>
      <c r="E5" s="2">
        <v>0</v>
      </c>
      <c r="F5" s="2">
        <f>(F4/52915.93)*323.7</f>
        <v>4.4082130655173213</v>
      </c>
      <c r="G5" s="2">
        <f>SUM(C5:F5)</f>
        <v>4.4082130655173213</v>
      </c>
    </row>
    <row r="6" spans="1:7" x14ac:dyDescent="0.25">
      <c r="A6" t="s">
        <v>18</v>
      </c>
    </row>
    <row r="7" spans="1:7" x14ac:dyDescent="0.25">
      <c r="A7" t="s">
        <v>19</v>
      </c>
      <c r="B7" s="1">
        <v>42955</v>
      </c>
      <c r="C7" s="2">
        <v>0</v>
      </c>
      <c r="D7" s="2">
        <v>-3633.83</v>
      </c>
      <c r="E7" s="2">
        <v>0</v>
      </c>
      <c r="F7" s="2">
        <f>(3633.83/30500)*51753.67</f>
        <v>6166.0340542983604</v>
      </c>
      <c r="G7" s="2">
        <f t="shared" ref="G7:G8" si="0">SUM(C7:F7)</f>
        <v>2532.2040542983605</v>
      </c>
    </row>
    <row r="8" spans="1:7" x14ac:dyDescent="0.25">
      <c r="A8" t="s">
        <v>21</v>
      </c>
      <c r="B8" s="1">
        <v>43100</v>
      </c>
      <c r="C8" s="2">
        <v>0</v>
      </c>
      <c r="D8" s="2">
        <v>0</v>
      </c>
      <c r="E8" s="2">
        <v>0</v>
      </c>
      <c r="F8" s="2">
        <f>(SUM(F4:F7)/104993.3)*165.72</f>
        <v>10.876759173657192</v>
      </c>
      <c r="G8" s="2">
        <f t="shared" si="0"/>
        <v>10.876759173657192</v>
      </c>
    </row>
    <row r="9" spans="1:7" x14ac:dyDescent="0.25">
      <c r="A9" t="s">
        <v>15</v>
      </c>
      <c r="C9" s="2">
        <v>6900.6</v>
      </c>
      <c r="D9" s="2">
        <v>0</v>
      </c>
      <c r="E9" s="2">
        <v>0</v>
      </c>
      <c r="F9" s="2">
        <v>1547.39</v>
      </c>
      <c r="G9" s="2">
        <f t="shared" ref="G9:G14" si="1">SUM(C9:F9)</f>
        <v>8447.99</v>
      </c>
    </row>
    <row r="10" spans="1:7" x14ac:dyDescent="0.25">
      <c r="A10" t="s">
        <v>20</v>
      </c>
      <c r="B10" s="1">
        <v>43040</v>
      </c>
      <c r="C10" s="2">
        <v>0</v>
      </c>
      <c r="D10" s="2">
        <v>0</v>
      </c>
      <c r="E10" s="2">
        <v>0</v>
      </c>
      <c r="F10" s="2">
        <v>-2112</v>
      </c>
      <c r="G10" s="2">
        <f t="shared" si="1"/>
        <v>-2112</v>
      </c>
    </row>
    <row r="11" spans="1:7" x14ac:dyDescent="0.25">
      <c r="A11" t="s">
        <v>15</v>
      </c>
      <c r="B11" s="1">
        <v>43433</v>
      </c>
      <c r="C11" s="2">
        <v>2423.4</v>
      </c>
      <c r="D11" s="2">
        <v>0</v>
      </c>
      <c r="E11" s="2">
        <v>0</v>
      </c>
      <c r="F11" s="2">
        <v>546.72</v>
      </c>
      <c r="G11" s="2">
        <f t="shared" si="1"/>
        <v>2970.12</v>
      </c>
    </row>
    <row r="12" spans="1:7" x14ac:dyDescent="0.25">
      <c r="A12" t="s">
        <v>22</v>
      </c>
      <c r="B12" s="1">
        <v>43433</v>
      </c>
      <c r="C12" s="2">
        <v>0</v>
      </c>
      <c r="D12" s="2">
        <v>0</v>
      </c>
      <c r="E12" s="2">
        <v>0</v>
      </c>
      <c r="F12" s="2">
        <v>-741.92</v>
      </c>
      <c r="G12" s="2">
        <f t="shared" si="1"/>
        <v>-741.92</v>
      </c>
    </row>
    <row r="13" spans="1:7" x14ac:dyDescent="0.25">
      <c r="A13" t="s">
        <v>23</v>
      </c>
      <c r="B13" s="1">
        <v>43434</v>
      </c>
      <c r="C13" s="2">
        <v>0</v>
      </c>
      <c r="D13" s="2">
        <v>0</v>
      </c>
      <c r="E13" s="2">
        <v>0</v>
      </c>
      <c r="F13" s="2">
        <f>-(3600/522305.1)*(65314.63+5827.5)</f>
        <v>-490.34877890336514</v>
      </c>
      <c r="G13" s="2">
        <f t="shared" si="1"/>
        <v>-490.34877890336514</v>
      </c>
    </row>
    <row r="14" spans="1:7" x14ac:dyDescent="0.25">
      <c r="A14" t="s">
        <v>25</v>
      </c>
      <c r="B14" s="1">
        <v>43465</v>
      </c>
      <c r="C14" s="2">
        <v>0</v>
      </c>
      <c r="D14" s="2">
        <v>0</v>
      </c>
      <c r="E14" s="2">
        <v>0</v>
      </c>
      <c r="F14" s="2">
        <f>(418.34/98705.1)*5651.78</f>
        <v>23.95383465697314</v>
      </c>
      <c r="G14" s="2">
        <f t="shared" si="1"/>
        <v>23.95383465697314</v>
      </c>
    </row>
    <row r="15" spans="1:7" x14ac:dyDescent="0.25">
      <c r="A15" t="s">
        <v>52</v>
      </c>
      <c r="B15" s="1">
        <v>43830</v>
      </c>
      <c r="C15" s="2">
        <v>0</v>
      </c>
      <c r="D15" s="2">
        <v>0</v>
      </c>
      <c r="E15" s="2">
        <v>0</v>
      </c>
      <c r="F15" s="2">
        <f>(358.27/86623.44)*5675.73</f>
        <v>23.474521297006905</v>
      </c>
      <c r="G15" s="2">
        <f t="shared" ref="G15:G16" si="2">SUM(C15:F15)</f>
        <v>23.474521297006905</v>
      </c>
    </row>
    <row r="16" spans="1:7" x14ac:dyDescent="0.25">
      <c r="A16" t="s">
        <v>53</v>
      </c>
      <c r="B16" s="1">
        <v>43859</v>
      </c>
      <c r="C16" s="2">
        <v>0</v>
      </c>
      <c r="D16" s="2">
        <v>0</v>
      </c>
      <c r="E16" s="2">
        <v>0</v>
      </c>
      <c r="F16" s="2">
        <f>-(3150/506981.71)*(64871.71)</f>
        <v>-403.06362629926036</v>
      </c>
      <c r="G16" s="2">
        <f t="shared" si="2"/>
        <v>-403.06362629926036</v>
      </c>
    </row>
    <row r="17" spans="1:7" x14ac:dyDescent="0.25">
      <c r="A17" t="s">
        <v>58</v>
      </c>
      <c r="B17" s="16">
        <v>43983</v>
      </c>
      <c r="C17" s="2">
        <v>0</v>
      </c>
      <c r="D17" s="2">
        <v>0</v>
      </c>
      <c r="E17" s="2">
        <v>0</v>
      </c>
      <c r="F17" s="2">
        <f>(29/503831.71)*64468.64</f>
        <v>3.7107441292252128</v>
      </c>
      <c r="G17" s="2">
        <f t="shared" ref="G17:G19" si="3">SUM(C17:F17)</f>
        <v>3.7107441292252128</v>
      </c>
    </row>
    <row r="18" spans="1:7" x14ac:dyDescent="0.25">
      <c r="A18" t="s">
        <v>59</v>
      </c>
      <c r="B18" s="1">
        <v>44196</v>
      </c>
      <c r="C18" s="2">
        <v>0</v>
      </c>
      <c r="D18" s="2">
        <v>0</v>
      </c>
      <c r="E18" s="2">
        <v>0</v>
      </c>
      <c r="F18" s="2">
        <f>(109.51/66575.39)*5299.86</f>
        <v>8.7177509376963478</v>
      </c>
      <c r="G18" s="2">
        <f t="shared" si="3"/>
        <v>8.7177509376963478</v>
      </c>
    </row>
    <row r="19" spans="1:7" x14ac:dyDescent="0.25">
      <c r="A19" t="s">
        <v>61</v>
      </c>
      <c r="B19" s="1">
        <v>44560</v>
      </c>
      <c r="C19" s="2">
        <v>0</v>
      </c>
      <c r="D19" s="2">
        <v>0</v>
      </c>
      <c r="E19" s="2">
        <v>0</v>
      </c>
      <c r="F19" s="2">
        <f>(4.32/40351.39)*5308.57</f>
        <v>0.56833289757800165</v>
      </c>
      <c r="G19" s="2">
        <f t="shared" si="3"/>
        <v>0.56833289757800165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3B41B-0321-4A2E-BD10-5AE5714B2DA8}">
  <dimension ref="A1:G16"/>
  <sheetViews>
    <sheetView workbookViewId="0">
      <selection activeCell="G15" sqref="G15:G16"/>
    </sheetView>
  </sheetViews>
  <sheetFormatPr defaultRowHeight="15" x14ac:dyDescent="0.25"/>
  <cols>
    <col min="1" max="1" width="46" customWidth="1"/>
    <col min="2" max="2" width="18.28515625" customWidth="1"/>
    <col min="3" max="3" width="18.42578125" style="2" customWidth="1"/>
    <col min="4" max="4" width="18.28515625" style="2" customWidth="1"/>
    <col min="5" max="5" width="17.5703125" style="2" customWidth="1"/>
    <col min="6" max="6" width="18.140625" style="2" customWidth="1"/>
    <col min="7" max="7" width="18.28515625" style="2" customWidth="1"/>
  </cols>
  <sheetData>
    <row r="1" spans="1:7" x14ac:dyDescent="0.25">
      <c r="A1" t="s">
        <v>27</v>
      </c>
    </row>
    <row r="2" spans="1:7" x14ac:dyDescent="0.25">
      <c r="A2" s="12" t="s">
        <v>47</v>
      </c>
      <c r="C2" s="13">
        <f>SUM(C4:C21)</f>
        <v>30000</v>
      </c>
      <c r="D2" s="13">
        <f>SUM(D4:D21)</f>
        <v>0</v>
      </c>
      <c r="E2" s="13">
        <f>SUM(E4:E21)</f>
        <v>10000</v>
      </c>
      <c r="F2" s="13">
        <f>SUM(F4:F21)</f>
        <v>2262.6489517450509</v>
      </c>
      <c r="G2" s="13">
        <f>SUM(G4:G21)</f>
        <v>42262.648951745054</v>
      </c>
    </row>
    <row r="3" spans="1:7" x14ac:dyDescent="0.25">
      <c r="C3" s="15" t="s">
        <v>9</v>
      </c>
      <c r="D3" s="15" t="s">
        <v>5</v>
      </c>
      <c r="E3" s="15" t="s">
        <v>10</v>
      </c>
      <c r="F3" s="15" t="s">
        <v>6</v>
      </c>
      <c r="G3" s="15" t="s">
        <v>7</v>
      </c>
    </row>
    <row r="4" spans="1:7" x14ac:dyDescent="0.25">
      <c r="A4" t="s">
        <v>4</v>
      </c>
      <c r="C4" s="2">
        <v>30000</v>
      </c>
      <c r="D4" s="2">
        <v>2912.75</v>
      </c>
      <c r="E4" s="2">
        <v>10000</v>
      </c>
      <c r="F4" s="2">
        <v>10298.44</v>
      </c>
      <c r="G4" s="2">
        <f>SUM(C4:F4)</f>
        <v>53211.19</v>
      </c>
    </row>
    <row r="5" spans="1:7" x14ac:dyDescent="0.25">
      <c r="A5" t="s">
        <v>17</v>
      </c>
      <c r="C5" s="2">
        <v>0</v>
      </c>
      <c r="D5" s="2">
        <v>0</v>
      </c>
      <c r="E5" s="2">
        <v>0</v>
      </c>
      <c r="F5" s="2">
        <f>(F4/52915.93)*323.7</f>
        <v>62.998137385093678</v>
      </c>
      <c r="G5" s="2">
        <f>SUM(C5:F5)</f>
        <v>62.998137385093678</v>
      </c>
    </row>
    <row r="6" spans="1:7" x14ac:dyDescent="0.25">
      <c r="A6" t="s">
        <v>18</v>
      </c>
    </row>
    <row r="7" spans="1:7" x14ac:dyDescent="0.25">
      <c r="A7" t="s">
        <v>19</v>
      </c>
      <c r="B7" s="1">
        <v>42955</v>
      </c>
      <c r="C7" s="2">
        <v>0</v>
      </c>
      <c r="D7" s="2">
        <v>-2912.75</v>
      </c>
      <c r="E7" s="2">
        <v>0</v>
      </c>
      <c r="F7" s="2">
        <f>(2912.75/30500)*51753.67</f>
        <v>4942.4754849999999</v>
      </c>
      <c r="G7" s="2">
        <f t="shared" ref="G7:G13" si="0">SUM(C7:F7)</f>
        <v>2029.7254849999999</v>
      </c>
    </row>
    <row r="8" spans="1:7" x14ac:dyDescent="0.25">
      <c r="A8" t="s">
        <v>21</v>
      </c>
      <c r="B8" s="1">
        <v>43100</v>
      </c>
      <c r="C8" s="2">
        <v>0</v>
      </c>
      <c r="D8" s="2">
        <v>0</v>
      </c>
      <c r="E8" s="2">
        <v>0</v>
      </c>
      <c r="F8" s="2">
        <f>(SUM(F4:F7)/104993.3)*165.72</f>
        <v>24.155489593161256</v>
      </c>
      <c r="G8" s="2">
        <f t="shared" si="0"/>
        <v>24.155489593161256</v>
      </c>
    </row>
    <row r="9" spans="1:7" x14ac:dyDescent="0.25">
      <c r="A9" t="s">
        <v>23</v>
      </c>
      <c r="B9" s="1">
        <v>43434</v>
      </c>
      <c r="C9" s="2">
        <v>0</v>
      </c>
      <c r="D9" s="2">
        <v>0</v>
      </c>
      <c r="E9" s="2">
        <v>0</v>
      </c>
      <c r="F9" s="2">
        <f>-(3600/522305.1)*55328.07</f>
        <v>-381.35000404935738</v>
      </c>
      <c r="G9" s="2">
        <f t="shared" si="0"/>
        <v>-381.35000404935738</v>
      </c>
    </row>
    <row r="10" spans="1:7" x14ac:dyDescent="0.25">
      <c r="A10" t="s">
        <v>25</v>
      </c>
      <c r="B10" s="1">
        <v>43465</v>
      </c>
      <c r="C10" s="2">
        <v>0</v>
      </c>
      <c r="D10" s="2">
        <v>0</v>
      </c>
      <c r="E10" s="2">
        <v>0</v>
      </c>
      <c r="F10" s="2">
        <f>(418.34/98705.1)*14946.72</f>
        <v>63.348406969852611</v>
      </c>
      <c r="G10" s="2">
        <f t="shared" si="0"/>
        <v>63.348406969852611</v>
      </c>
    </row>
    <row r="11" spans="1:7" x14ac:dyDescent="0.25">
      <c r="A11" t="s">
        <v>26</v>
      </c>
      <c r="B11" s="1">
        <v>43552</v>
      </c>
      <c r="C11" s="2">
        <v>0</v>
      </c>
      <c r="D11" s="2">
        <v>0</v>
      </c>
      <c r="E11" s="2">
        <v>0</v>
      </c>
      <c r="F11" s="2">
        <v>-12500</v>
      </c>
      <c r="G11" s="2">
        <f t="shared" si="0"/>
        <v>-12500</v>
      </c>
    </row>
    <row r="12" spans="1:7" x14ac:dyDescent="0.25">
      <c r="A12" t="s">
        <v>52</v>
      </c>
      <c r="B12" s="1">
        <v>43830</v>
      </c>
      <c r="C12" s="2">
        <v>0</v>
      </c>
      <c r="D12" s="2">
        <v>0</v>
      </c>
      <c r="E12" s="2">
        <v>0</v>
      </c>
      <c r="F12" s="2">
        <f>(358.27/86623.44)*2510.07</f>
        <v>10.381517738154939</v>
      </c>
      <c r="G12" s="2">
        <f t="shared" si="0"/>
        <v>10.381517738154939</v>
      </c>
    </row>
    <row r="13" spans="1:7" x14ac:dyDescent="0.25">
      <c r="A13" t="s">
        <v>53</v>
      </c>
      <c r="B13" s="1">
        <v>43859</v>
      </c>
      <c r="C13" s="2">
        <v>0</v>
      </c>
      <c r="D13" s="2">
        <v>0</v>
      </c>
      <c r="E13" s="2">
        <v>0</v>
      </c>
      <c r="F13" s="2">
        <f>-(3150/506981.71)*(42520.45)</f>
        <v>-264.18984128638482</v>
      </c>
      <c r="G13" s="2">
        <f t="shared" si="0"/>
        <v>-264.18984128638482</v>
      </c>
    </row>
    <row r="14" spans="1:7" x14ac:dyDescent="0.25">
      <c r="A14" t="s">
        <v>58</v>
      </c>
      <c r="B14" s="16">
        <v>43983</v>
      </c>
      <c r="C14" s="2">
        <v>0</v>
      </c>
      <c r="D14" s="2">
        <v>0</v>
      </c>
      <c r="E14" s="2">
        <v>0</v>
      </c>
      <c r="F14" s="2">
        <f>(29/503831.71)*42256.26</f>
        <v>2.4322239265170507</v>
      </c>
      <c r="G14" s="2">
        <f t="shared" ref="G14:G16" si="1">SUM(C14:F14)</f>
        <v>2.4322239265170507</v>
      </c>
    </row>
    <row r="15" spans="1:7" x14ac:dyDescent="0.25">
      <c r="A15" t="s">
        <v>59</v>
      </c>
      <c r="B15" s="1">
        <v>44196</v>
      </c>
      <c r="C15" s="2">
        <v>0</v>
      </c>
      <c r="D15" s="2">
        <v>0</v>
      </c>
      <c r="E15" s="2">
        <v>0</v>
      </c>
      <c r="F15" s="2">
        <f>(109.51/66575.39)*2258.69</f>
        <v>3.7153239643057296</v>
      </c>
      <c r="G15" s="2">
        <f t="shared" si="1"/>
        <v>3.7153239643057296</v>
      </c>
    </row>
    <row r="16" spans="1:7" x14ac:dyDescent="0.25">
      <c r="A16" t="s">
        <v>61</v>
      </c>
      <c r="B16" s="1">
        <v>44560</v>
      </c>
      <c r="C16" s="2">
        <v>0</v>
      </c>
      <c r="D16" s="2">
        <v>0</v>
      </c>
      <c r="E16" s="2">
        <v>0</v>
      </c>
      <c r="F16" s="2">
        <f>(4.32/40351.39)*2262.41</f>
        <v>0.2422125037080507</v>
      </c>
      <c r="G16" s="2">
        <f t="shared" si="1"/>
        <v>0.2422125037080507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Top Sheet</vt:lpstr>
      <vt:lpstr>Overall Assets</vt:lpstr>
      <vt:lpstr>Varley (Cry)</vt:lpstr>
      <vt:lpstr>Roberts (Unc)</vt:lpstr>
      <vt:lpstr>Roberts (Cry)</vt:lpstr>
      <vt:lpstr>Barnes (Ex Pownall) (Cry)</vt:lpstr>
      <vt:lpstr>Ellis (Unc)</vt:lpstr>
      <vt:lpstr>Ellis (Cry)</vt:lpstr>
      <vt:lpstr>Heavisides (DB)</vt:lpstr>
      <vt:lpstr>Wallington (Cry)</vt:lpstr>
      <vt:lpstr>Deakin (Unc)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McCartney</cp:lastModifiedBy>
  <dcterms:created xsi:type="dcterms:W3CDTF">2018-11-22T09:36:26Z</dcterms:created>
  <dcterms:modified xsi:type="dcterms:W3CDTF">2022-10-12T11:36:47Z</dcterms:modified>
</cp:coreProperties>
</file>