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vin\Downloads\"/>
    </mc:Choice>
  </mc:AlternateContent>
  <xr:revisionPtr revIDLastSave="0" documentId="8_{9F397792-11F2-4814-9251-4E6B1449A93E}" xr6:coauthVersionLast="47" xr6:coauthVersionMax="47" xr10:uidLastSave="{00000000-0000-0000-0000-000000000000}"/>
  <bookViews>
    <workbookView xWindow="-120" yWindow="-120" windowWidth="29040" windowHeight="15720" xr2:uid="{BADF97FA-5CA4-4961-B950-89502F19C133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9" i="2" l="1"/>
  <c r="K89" i="2"/>
  <c r="V86" i="2"/>
  <c r="V80" i="2"/>
  <c r="O35" i="2"/>
  <c r="M35" i="2"/>
  <c r="O23" i="2"/>
  <c r="M23" i="2"/>
  <c r="H86" i="2"/>
  <c r="G83" i="2"/>
  <c r="G84" i="2" s="1"/>
  <c r="G85" i="2" s="1"/>
  <c r="F83" i="2"/>
  <c r="F84" i="2" s="1"/>
  <c r="E83" i="2"/>
  <c r="E84" i="2" s="1"/>
  <c r="E85" i="2" s="1"/>
  <c r="D83" i="2"/>
  <c r="D84" i="2" s="1"/>
  <c r="H80" i="2"/>
  <c r="G77" i="2"/>
  <c r="G78" i="2" s="1"/>
  <c r="G79" i="2" s="1"/>
  <c r="F77" i="2"/>
  <c r="F78" i="2" s="1"/>
  <c r="E77" i="2"/>
  <c r="E78" i="2" s="1"/>
  <c r="E79" i="2" s="1"/>
  <c r="D77" i="2"/>
  <c r="D78" i="2" s="1"/>
  <c r="H75" i="2"/>
  <c r="F74" i="2"/>
  <c r="F79" i="2" s="1"/>
  <c r="F85" i="2" s="1"/>
  <c r="G72" i="2"/>
  <c r="G73" i="2" s="1"/>
  <c r="G74" i="2" s="1"/>
  <c r="E72" i="2"/>
  <c r="E73" i="2" s="1"/>
  <c r="E74" i="2" s="1"/>
  <c r="H70" i="2"/>
  <c r="G68" i="2"/>
  <c r="F68" i="2"/>
  <c r="E68" i="2"/>
  <c r="G66" i="2"/>
  <c r="G67" i="2" s="1"/>
  <c r="F66" i="2"/>
  <c r="F67" i="2" s="1"/>
  <c r="F69" i="2" s="1"/>
  <c r="F72" i="2" s="1"/>
  <c r="F73" i="2" s="1"/>
  <c r="E66" i="2"/>
  <c r="E67" i="2" s="1"/>
  <c r="D66" i="2"/>
  <c r="H64" i="2"/>
  <c r="G63" i="2"/>
  <c r="F63" i="2"/>
  <c r="E63" i="2"/>
  <c r="G61" i="2"/>
  <c r="G62" i="2" s="1"/>
  <c r="F61" i="2"/>
  <c r="F62" i="2" s="1"/>
  <c r="E61" i="2"/>
  <c r="E62" i="2" s="1"/>
  <c r="D61" i="2"/>
  <c r="H59" i="2"/>
  <c r="G58" i="2"/>
  <c r="F58" i="2"/>
  <c r="E58" i="2"/>
  <c r="G56" i="2"/>
  <c r="G57" i="2" s="1"/>
  <c r="F56" i="2"/>
  <c r="F57" i="2" s="1"/>
  <c r="E56" i="2"/>
  <c r="E57" i="2" s="1"/>
  <c r="D56" i="2"/>
  <c r="D57" i="2" s="1"/>
  <c r="D58" i="2" s="1"/>
  <c r="H55" i="2"/>
  <c r="B52" i="2"/>
  <c r="B47" i="2"/>
  <c r="B42" i="2"/>
  <c r="B41" i="2"/>
  <c r="B37" i="2"/>
  <c r="B36" i="2"/>
  <c r="B32" i="2"/>
  <c r="I32" i="2" s="1"/>
  <c r="B31" i="2"/>
  <c r="B25" i="2"/>
  <c r="Q25" i="2"/>
  <c r="B24" i="2"/>
  <c r="B20" i="2"/>
  <c r="B19" i="2"/>
  <c r="H18" i="2"/>
  <c r="H13" i="2"/>
  <c r="H14" i="2" s="1"/>
  <c r="H15" i="2" s="1"/>
  <c r="H8" i="2"/>
  <c r="H9" i="2" s="1"/>
  <c r="H10" i="2" s="1"/>
  <c r="H11" i="2" s="1"/>
  <c r="G4" i="2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F4" i="2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D4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I4" i="2"/>
  <c r="H4" i="2"/>
  <c r="N3" i="2"/>
  <c r="M6" i="2" s="1"/>
  <c r="T3" i="2"/>
  <c r="S6" i="2" s="1"/>
  <c r="J55" i="2" l="1"/>
  <c r="H58" i="2"/>
  <c r="H66" i="2"/>
  <c r="D67" i="2"/>
  <c r="H67" i="2" s="1"/>
  <c r="H57" i="2"/>
  <c r="H19" i="2"/>
  <c r="H20" i="2" s="1"/>
  <c r="H61" i="2"/>
  <c r="D62" i="2"/>
  <c r="D63" i="2" s="1"/>
  <c r="H63" i="2" s="1"/>
  <c r="H78" i="2"/>
  <c r="D79" i="2"/>
  <c r="H79" i="2" s="1"/>
  <c r="H77" i="2"/>
  <c r="H56" i="2"/>
  <c r="H84" i="2"/>
  <c r="D85" i="2"/>
  <c r="H85" i="2" s="1"/>
  <c r="H83" i="2"/>
  <c r="S5" i="2"/>
  <c r="S7" i="2" s="1"/>
  <c r="M5" i="2"/>
  <c r="M7" i="2" s="1"/>
  <c r="H16" i="2"/>
  <c r="H5" i="2"/>
  <c r="P3" i="2"/>
  <c r="R3" i="2"/>
  <c r="L3" i="2"/>
  <c r="J3" i="2"/>
  <c r="D68" i="2" l="1"/>
  <c r="D69" i="2" s="1"/>
  <c r="H68" i="2"/>
  <c r="H62" i="2"/>
  <c r="Q5" i="2"/>
  <c r="Q6" i="2"/>
  <c r="O6" i="2"/>
  <c r="O5" i="2"/>
  <c r="K5" i="2"/>
  <c r="K6" i="2"/>
  <c r="H21" i="2"/>
  <c r="I5" i="2"/>
  <c r="H6" i="2"/>
  <c r="D72" i="2" l="1"/>
  <c r="H69" i="2"/>
  <c r="K7" i="2"/>
  <c r="L7" i="2" s="1"/>
  <c r="Q7" i="2"/>
  <c r="R7" i="2" s="1"/>
  <c r="O7" i="2"/>
  <c r="T7" i="2"/>
  <c r="N7" i="2"/>
  <c r="D73" i="2" l="1"/>
  <c r="H72" i="2"/>
  <c r="K10" i="2"/>
  <c r="K9" i="2"/>
  <c r="S9" i="2"/>
  <c r="S10" i="2"/>
  <c r="P7" i="2"/>
  <c r="Q9" i="2"/>
  <c r="Q10" i="2"/>
  <c r="M10" i="2"/>
  <c r="M9" i="2"/>
  <c r="I6" i="2"/>
  <c r="K12" i="2" l="1"/>
  <c r="L12" i="2" s="1"/>
  <c r="H73" i="2"/>
  <c r="D74" i="2"/>
  <c r="H74" i="2" s="1"/>
  <c r="S12" i="2"/>
  <c r="T12" i="2" s="1"/>
  <c r="S14" i="2" s="1"/>
  <c r="Q12" i="2"/>
  <c r="R12" i="2" s="1"/>
  <c r="Q14" i="2" s="1"/>
  <c r="M12" i="2"/>
  <c r="N12" i="2" s="1"/>
  <c r="M14" i="2" s="1"/>
  <c r="K15" i="2"/>
  <c r="K14" i="2"/>
  <c r="O10" i="2"/>
  <c r="O9" i="2"/>
  <c r="I7" i="2"/>
  <c r="I8" i="2" s="1"/>
  <c r="J7" i="2"/>
  <c r="S15" i="2" l="1"/>
  <c r="S17" i="2" s="1"/>
  <c r="T17" i="2" s="1"/>
  <c r="Q15" i="2"/>
  <c r="Q17" i="2" s="1"/>
  <c r="R17" i="2" s="1"/>
  <c r="M15" i="2"/>
  <c r="M17" i="2" s="1"/>
  <c r="K17" i="2"/>
  <c r="L17" i="2" s="1"/>
  <c r="K19" i="2" s="1"/>
  <c r="O12" i="2"/>
  <c r="K20" i="2" l="1"/>
  <c r="K22" i="2" s="1"/>
  <c r="K29" i="2" s="1"/>
  <c r="P12" i="2"/>
  <c r="I9" i="2"/>
  <c r="Q19" i="2"/>
  <c r="Q20" i="2"/>
  <c r="N17" i="2"/>
  <c r="S20" i="2"/>
  <c r="S19" i="2"/>
  <c r="S22" i="2" l="1"/>
  <c r="I10" i="2"/>
  <c r="M20" i="2"/>
  <c r="M19" i="2"/>
  <c r="Q22" i="2"/>
  <c r="O14" i="2"/>
  <c r="O15" i="2"/>
  <c r="M22" i="2" l="1"/>
  <c r="M29" i="2" s="1"/>
  <c r="O17" i="2"/>
  <c r="I11" i="2"/>
  <c r="P17" i="2" l="1"/>
  <c r="J12" i="2"/>
  <c r="I12" i="2"/>
  <c r="I13" i="2" s="1"/>
  <c r="O20" i="2" l="1"/>
  <c r="O19" i="2"/>
  <c r="O22" i="2" l="1"/>
  <c r="O29" i="2" s="1"/>
  <c r="I14" i="2"/>
  <c r="I15" i="2" l="1"/>
  <c r="H22" i="2"/>
  <c r="P22" i="2" s="1"/>
  <c r="H23" i="2" l="1"/>
  <c r="H24" i="2" s="1"/>
  <c r="L22" i="2"/>
  <c r="T22" i="2"/>
  <c r="N22" i="2"/>
  <c r="R22" i="2"/>
  <c r="I16" i="2"/>
  <c r="I17" i="2" l="1"/>
  <c r="I18" i="2" s="1"/>
  <c r="J17" i="2"/>
  <c r="I19" i="2" l="1"/>
  <c r="I20" i="2" l="1"/>
  <c r="I21" i="2" l="1"/>
  <c r="J22" i="2" l="1"/>
  <c r="I22" i="2"/>
  <c r="I24" i="2" l="1"/>
  <c r="H25" i="2" l="1"/>
  <c r="H26" i="2" l="1"/>
  <c r="I25" i="2"/>
  <c r="I26" i="2" l="1"/>
  <c r="H27" i="2"/>
  <c r="I27" i="2" l="1"/>
  <c r="H28" i="2"/>
  <c r="I28" i="2" s="1"/>
  <c r="I29" i="2" l="1"/>
  <c r="H29" i="2" l="1"/>
  <c r="R29" i="2" s="1"/>
  <c r="I30" i="2"/>
  <c r="N29" i="2" l="1"/>
  <c r="M31" i="2" s="1"/>
  <c r="T29" i="2"/>
  <c r="P29" i="2"/>
  <c r="O31" i="2" s="1"/>
  <c r="H30" i="2"/>
  <c r="H31" i="2" s="1"/>
  <c r="H32" i="2" s="1"/>
  <c r="H33" i="2" s="1"/>
  <c r="J29" i="2"/>
  <c r="L29" i="2"/>
  <c r="K31" i="2" s="1"/>
  <c r="M32" i="2" l="1"/>
  <c r="O32" i="2"/>
  <c r="O34" i="2" s="1"/>
  <c r="K32" i="2"/>
  <c r="K34" i="2" s="1"/>
  <c r="I31" i="2"/>
  <c r="I34" i="2" s="1"/>
  <c r="M34" i="2"/>
  <c r="H34" i="2" l="1"/>
  <c r="J34" i="2" s="1"/>
  <c r="I37" i="2" s="1"/>
  <c r="I36" i="2" l="1"/>
  <c r="I39" i="2" s="1"/>
  <c r="H35" i="2"/>
  <c r="P34" i="2"/>
  <c r="L34" i="2"/>
  <c r="N34" i="2"/>
  <c r="H36" i="2" l="1"/>
  <c r="O37" i="2"/>
  <c r="O36" i="2"/>
  <c r="M36" i="2"/>
  <c r="M37" i="2"/>
  <c r="K36" i="2"/>
  <c r="K37" i="2"/>
  <c r="M39" i="2" l="1"/>
  <c r="O39" i="2"/>
  <c r="K39" i="2"/>
  <c r="H37" i="2"/>
  <c r="H38" i="2" l="1"/>
  <c r="H39" i="2"/>
  <c r="H40" i="2" s="1"/>
  <c r="H41" i="2" s="1"/>
  <c r="H42" i="2" s="1"/>
  <c r="H43" i="2" s="1"/>
  <c r="J39" i="2" l="1"/>
  <c r="N39" i="2"/>
  <c r="P39" i="2"/>
  <c r="L39" i="2"/>
  <c r="O41" i="2" l="1"/>
  <c r="O42" i="2"/>
  <c r="M41" i="2"/>
  <c r="M42" i="2"/>
  <c r="K41" i="2"/>
  <c r="K42" i="2"/>
  <c r="I41" i="2"/>
  <c r="I42" i="2"/>
  <c r="O44" i="2" l="1"/>
  <c r="I44" i="2"/>
  <c r="M44" i="2"/>
  <c r="K44" i="2"/>
  <c r="H44" i="2" l="1"/>
  <c r="L44" i="2" s="1"/>
  <c r="N44" i="2" l="1"/>
  <c r="M46" i="2" s="1"/>
  <c r="P44" i="2"/>
  <c r="O47" i="2" s="1"/>
  <c r="H45" i="2"/>
  <c r="H46" i="2" s="1"/>
  <c r="H47" i="2" s="1"/>
  <c r="H48" i="2" s="1"/>
  <c r="J44" i="2"/>
  <c r="I46" i="2" s="1"/>
  <c r="K46" i="2"/>
  <c r="K47" i="2"/>
  <c r="M47" i="2" l="1"/>
  <c r="M49" i="2" s="1"/>
  <c r="O46" i="2"/>
  <c r="O49" i="2" s="1"/>
  <c r="K49" i="2"/>
  <c r="I47" i="2"/>
  <c r="I49" i="2" s="1"/>
  <c r="H49" i="2" l="1"/>
  <c r="J49" i="2" s="1"/>
  <c r="I52" i="2" l="1"/>
  <c r="I51" i="2"/>
  <c r="L49" i="2"/>
  <c r="H50" i="2"/>
  <c r="H51" i="2" s="1"/>
  <c r="H52" i="2" s="1"/>
  <c r="H53" i="2" s="1"/>
  <c r="N49" i="2"/>
  <c r="P49" i="2"/>
  <c r="I54" i="2" l="1"/>
  <c r="M51" i="2"/>
  <c r="M52" i="2"/>
  <c r="O51" i="2"/>
  <c r="O52" i="2"/>
  <c r="K51" i="2"/>
  <c r="K54" i="2" s="1"/>
  <c r="K52" i="2"/>
  <c r="M54" i="2" l="1"/>
  <c r="O54" i="2"/>
  <c r="V54" i="2" s="1"/>
  <c r="H54" i="2" l="1"/>
  <c r="N54" i="2" s="1"/>
  <c r="N55" i="2" s="1"/>
  <c r="M57" i="2" l="1"/>
  <c r="M56" i="2"/>
  <c r="P54" i="2"/>
  <c r="P55" i="2" s="1"/>
  <c r="J54" i="2"/>
  <c r="I56" i="2" s="1"/>
  <c r="L54" i="2"/>
  <c r="L55" i="2" s="1"/>
  <c r="K57" i="2" l="1"/>
  <c r="K55" i="2"/>
  <c r="K56" i="2"/>
  <c r="O57" i="2"/>
  <c r="O56" i="2"/>
  <c r="O55" i="2"/>
  <c r="I57" i="2"/>
  <c r="M55" i="2"/>
  <c r="M59" i="2" s="1"/>
  <c r="O59" i="2" l="1"/>
  <c r="P59" i="2"/>
  <c r="N59" i="2"/>
  <c r="K59" i="2"/>
  <c r="L59" i="2" l="1"/>
  <c r="K61" i="2" l="1"/>
  <c r="K62" i="2"/>
  <c r="K64" i="2" l="1"/>
  <c r="L64" i="2" l="1"/>
  <c r="M62" i="2"/>
  <c r="K66" i="2" l="1"/>
  <c r="K67" i="2"/>
  <c r="M61" i="2"/>
  <c r="K70" i="2" l="1"/>
  <c r="M64" i="2"/>
  <c r="N64" i="2" l="1"/>
  <c r="M66" i="2"/>
  <c r="M67" i="2"/>
  <c r="M70" i="2" l="1"/>
  <c r="O61" i="2"/>
  <c r="O62" i="2" l="1"/>
  <c r="O64" i="2" s="1"/>
  <c r="V64" i="2" l="1"/>
  <c r="P64" i="2"/>
  <c r="O66" i="2" l="1"/>
  <c r="O67" i="2"/>
  <c r="L70" i="2"/>
  <c r="K72" i="2" s="1"/>
  <c r="O70" i="2" l="1"/>
  <c r="V70" i="2" s="1"/>
  <c r="K73" i="2"/>
  <c r="K75" i="2" s="1"/>
  <c r="L75" i="2" l="1"/>
  <c r="K78" i="2" l="1"/>
  <c r="K77" i="2"/>
  <c r="K80" i="2" l="1"/>
  <c r="L80" i="2" l="1"/>
  <c r="K84" i="2" l="1"/>
  <c r="K83" i="2"/>
  <c r="K86" i="2" s="1"/>
  <c r="L86" i="2" s="1"/>
  <c r="N70" i="2"/>
  <c r="M72" i="2" s="1"/>
  <c r="M73" i="2" l="1"/>
  <c r="M75" i="2" s="1"/>
  <c r="N75" i="2" l="1"/>
  <c r="M78" i="2" l="1"/>
  <c r="M77" i="2"/>
  <c r="M80" i="2" s="1"/>
  <c r="N80" i="2" l="1"/>
  <c r="M84" i="2" l="1"/>
  <c r="M83" i="2"/>
  <c r="M86" i="2" s="1"/>
  <c r="N86" i="2" s="1"/>
  <c r="P70" i="2"/>
  <c r="O72" i="2" s="1"/>
  <c r="O73" i="2" l="1"/>
  <c r="O75" i="2" s="1"/>
  <c r="P75" i="2" l="1"/>
  <c r="O78" i="2" l="1"/>
  <c r="O77" i="2"/>
  <c r="O80" i="2" l="1"/>
  <c r="P80" i="2" l="1"/>
  <c r="O83" i="2" l="1"/>
  <c r="O84" i="2"/>
  <c r="O86" i="2" l="1"/>
  <c r="P86" i="2" s="1"/>
  <c r="I73" i="2"/>
  <c r="J70" i="2"/>
  <c r="I72" i="2"/>
  <c r="J86" i="2"/>
  <c r="I86" i="2"/>
  <c r="I62" i="2"/>
  <c r="J59" i="2"/>
  <c r="I61" i="2"/>
  <c r="I66" i="2"/>
  <c r="J64" i="2"/>
  <c r="I67" i="2"/>
  <c r="I84" i="2"/>
  <c r="I80" i="2"/>
  <c r="J80" i="2"/>
  <c r="I83" i="2"/>
  <c r="I77" i="2"/>
  <c r="I59" i="2"/>
  <c r="I64" i="2"/>
  <c r="I70" i="2"/>
  <c r="I75" i="2"/>
  <c r="J75" i="2"/>
  <c r="I78" i="2"/>
</calcChain>
</file>

<file path=xl/sharedStrings.xml><?xml version="1.0" encoding="utf-8"?>
<sst xmlns="http://schemas.openxmlformats.org/spreadsheetml/2006/main" count="98" uniqueCount="33">
  <si>
    <t>Date</t>
  </si>
  <si>
    <t>Movement</t>
  </si>
  <si>
    <t>Notes</t>
  </si>
  <si>
    <t>Cash</t>
  </si>
  <si>
    <t>Investments</t>
  </si>
  <si>
    <t>Total</t>
  </si>
  <si>
    <t>Patrick</t>
  </si>
  <si>
    <t>Patrick %</t>
  </si>
  <si>
    <t>Damian</t>
  </si>
  <si>
    <t>Damian %</t>
  </si>
  <si>
    <t>Nuala</t>
  </si>
  <si>
    <t>Nuala %</t>
  </si>
  <si>
    <t>Initial (from previous fund split)</t>
  </si>
  <si>
    <t>Liabilities</t>
  </si>
  <si>
    <t>General</t>
  </si>
  <si>
    <t>General %</t>
  </si>
  <si>
    <t>Debtors</t>
  </si>
  <si>
    <t>Patrick Drawdown</t>
  </si>
  <si>
    <t>EoY as per accounts</t>
  </si>
  <si>
    <t>Investment Income</t>
  </si>
  <si>
    <t>Expenses</t>
  </si>
  <si>
    <t>Contribution</t>
  </si>
  <si>
    <t>Sheila</t>
  </si>
  <si>
    <t>Sheila %</t>
  </si>
  <si>
    <t>Caroline</t>
  </si>
  <si>
    <t>Caroline %</t>
  </si>
  <si>
    <t>EoY Revaluation</t>
  </si>
  <si>
    <t>Drawdown</t>
  </si>
  <si>
    <t>Sheila Death Benefits</t>
  </si>
  <si>
    <t>Caroline Transfer Out</t>
  </si>
  <si>
    <t>Reconciliation from 16/17 Accounts</t>
  </si>
  <si>
    <t>Contribution Nuala</t>
  </si>
  <si>
    <t xml:space="preserve">Contribution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</si>
</sst>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0" fillId="2" borderId="0" xfId="0" applyFill="1"/>
    <xf numFmtId="164" fontId="0" fillId="2" borderId="0" xfId="0" applyNumberFormat="1" applyFill="1"/>
    <xf numFmtId="10" fontId="1" fillId="0" borderId="0" xfId="0" applyNumberFormat="1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B927A-16D2-4315-8103-604018CD6A38}">
  <dimension ref="A1:X89"/>
  <sheetViews>
    <sheetView tabSelected="1" topLeftCell="C1" workbookViewId="0">
      <pane ySplit="1" topLeftCell="A56" activePane="bottomLeft" state="frozen"/>
      <selection pane="bottomLeft" activeCell="L86" sqref="L86"/>
    </sheetView>
  </sheetViews>
  <sheetFormatPr defaultRowHeight="15" x14ac:dyDescent="0.25"/>
  <cols>
    <col min="1" max="1" width="14.28515625" customWidth="1"/>
    <col min="2" max="2" width="14.5703125" style="4" customWidth="1"/>
    <col min="3" max="3" width="52" customWidth="1"/>
    <col min="4" max="4" width="13.7109375" style="4" customWidth="1"/>
    <col min="5" max="5" width="13.140625" style="4" customWidth="1"/>
    <col min="6" max="6" width="17.7109375" style="4" customWidth="1"/>
    <col min="7" max="7" width="16" style="4" customWidth="1"/>
    <col min="8" max="8" width="14.7109375" style="4" customWidth="1"/>
    <col min="9" max="9" width="12.7109375" style="4" bestFit="1" customWidth="1"/>
    <col min="10" max="10" width="12.140625" customWidth="1"/>
    <col min="11" max="11" width="13.140625" customWidth="1"/>
    <col min="12" max="12" width="9.140625" style="10"/>
    <col min="13" max="13" width="12.7109375" bestFit="1" customWidth="1"/>
    <col min="14" max="14" width="12.140625" style="10" customWidth="1"/>
    <col min="15" max="15" width="11.140625" bestFit="1" customWidth="1"/>
    <col min="16" max="16" width="9.7109375" style="10" customWidth="1"/>
    <col min="17" max="17" width="14.140625" style="4" hidden="1" customWidth="1"/>
    <col min="18" max="18" width="9.7109375" style="10" hidden="1" customWidth="1"/>
    <col min="19" max="19" width="12.28515625" style="4" hidden="1" customWidth="1"/>
    <col min="20" max="20" width="11" style="10" hidden="1" customWidth="1"/>
    <col min="21" max="21" width="11" style="5" customWidth="1"/>
    <col min="22" max="22" width="14" customWidth="1"/>
    <col min="24" max="24" width="12.7109375" bestFit="1" customWidth="1"/>
  </cols>
  <sheetData>
    <row r="1" spans="1:23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16</v>
      </c>
      <c r="F1" s="2" t="s">
        <v>4</v>
      </c>
      <c r="G1" s="2" t="s">
        <v>13</v>
      </c>
      <c r="H1" s="2" t="s">
        <v>5</v>
      </c>
      <c r="I1" s="2" t="s">
        <v>14</v>
      </c>
      <c r="J1" s="3" t="s">
        <v>15</v>
      </c>
      <c r="K1" s="2" t="s">
        <v>6</v>
      </c>
      <c r="L1" s="9" t="s">
        <v>7</v>
      </c>
      <c r="M1" s="2" t="s">
        <v>8</v>
      </c>
      <c r="N1" s="9" t="s">
        <v>9</v>
      </c>
      <c r="O1" s="2" t="s">
        <v>10</v>
      </c>
      <c r="P1" s="9" t="s">
        <v>11</v>
      </c>
      <c r="Q1" s="2" t="s">
        <v>22</v>
      </c>
      <c r="R1" s="9" t="s">
        <v>23</v>
      </c>
      <c r="S1" s="2" t="s">
        <v>24</v>
      </c>
      <c r="T1" s="9" t="s">
        <v>25</v>
      </c>
      <c r="U1" s="3"/>
      <c r="V1" s="4"/>
      <c r="W1" s="5"/>
    </row>
    <row r="3" spans="1:23" x14ac:dyDescent="0.25">
      <c r="A3" s="6">
        <v>38812</v>
      </c>
      <c r="B3" s="4">
        <v>0</v>
      </c>
      <c r="C3" t="s">
        <v>12</v>
      </c>
      <c r="D3" s="4">
        <v>0</v>
      </c>
      <c r="E3" s="4">
        <v>0</v>
      </c>
      <c r="F3" s="4">
        <v>0</v>
      </c>
      <c r="G3" s="4">
        <v>0</v>
      </c>
      <c r="H3" s="4">
        <v>987227</v>
      </c>
      <c r="I3" s="4">
        <v>0</v>
      </c>
      <c r="J3" s="5">
        <f>I3/H3</f>
        <v>0</v>
      </c>
      <c r="K3" s="4">
        <v>219718</v>
      </c>
      <c r="L3" s="10">
        <f>K3/H3</f>
        <v>0.22256076869858704</v>
      </c>
      <c r="M3" s="4">
        <v>302111</v>
      </c>
      <c r="N3" s="10">
        <f>M3/H3</f>
        <v>0.30601979078773167</v>
      </c>
      <c r="O3" s="4">
        <v>71738</v>
      </c>
      <c r="P3" s="10">
        <f>O3/H3</f>
        <v>7.266616492458168E-2</v>
      </c>
      <c r="Q3" s="4">
        <v>247182</v>
      </c>
      <c r="R3" s="10">
        <f>Q3/H3</f>
        <v>0.25038010508221514</v>
      </c>
      <c r="S3" s="4">
        <v>146478</v>
      </c>
      <c r="T3" s="10">
        <f>S3/H3</f>
        <v>0.14837317050688442</v>
      </c>
      <c r="V3" s="4"/>
      <c r="W3" s="5"/>
    </row>
    <row r="4" spans="1:23" x14ac:dyDescent="0.25">
      <c r="A4" s="6">
        <v>39177</v>
      </c>
      <c r="B4" s="4">
        <v>100000</v>
      </c>
      <c r="C4" t="s">
        <v>21</v>
      </c>
      <c r="D4" s="4">
        <f>D3</f>
        <v>0</v>
      </c>
      <c r="E4" s="4">
        <f>E3</f>
        <v>0</v>
      </c>
      <c r="F4" s="4">
        <f>F3</f>
        <v>0</v>
      </c>
      <c r="G4" s="4">
        <f>G3</f>
        <v>0</v>
      </c>
      <c r="H4" s="4">
        <f>H3+B4</f>
        <v>1087227</v>
      </c>
      <c r="I4" s="4">
        <f>I3</f>
        <v>0</v>
      </c>
      <c r="J4" s="5"/>
      <c r="K4" s="4">
        <v>0</v>
      </c>
      <c r="M4" s="4">
        <v>75000</v>
      </c>
      <c r="O4" s="4">
        <v>10000</v>
      </c>
      <c r="Q4" s="4">
        <v>0</v>
      </c>
      <c r="S4" s="4">
        <v>15000</v>
      </c>
      <c r="V4" s="4"/>
      <c r="W4" s="5"/>
    </row>
    <row r="5" spans="1:23" x14ac:dyDescent="0.25">
      <c r="A5" s="6">
        <v>39177</v>
      </c>
      <c r="B5" s="4">
        <v>51817</v>
      </c>
      <c r="C5" t="s">
        <v>19</v>
      </c>
      <c r="D5" s="4">
        <f t="shared" ref="D5:D6" si="0">D4</f>
        <v>0</v>
      </c>
      <c r="E5" s="4">
        <f t="shared" ref="E5:E6" si="1">E4</f>
        <v>0</v>
      </c>
      <c r="F5" s="4">
        <f t="shared" ref="F5:F6" si="2">F4</f>
        <v>0</v>
      </c>
      <c r="G5" s="4">
        <f t="shared" ref="G5:G6" si="3">G4</f>
        <v>0</v>
      </c>
      <c r="H5" s="4">
        <f>H4+B5</f>
        <v>1139044</v>
      </c>
      <c r="I5" s="4">
        <f>H5*J4</f>
        <v>0</v>
      </c>
      <c r="J5" s="5"/>
      <c r="K5" s="4">
        <f>B5*L3</f>
        <v>11532.431351654684</v>
      </c>
      <c r="M5" s="4">
        <f>B5*N3</f>
        <v>15857.027499247892</v>
      </c>
      <c r="O5" s="4">
        <f>B5*P3</f>
        <v>3765.3426678970491</v>
      </c>
      <c r="Q5" s="4">
        <f>B5*R3</f>
        <v>12973.945905045142</v>
      </c>
      <c r="S5" s="4">
        <f>B5*T3</f>
        <v>7688.2525761552297</v>
      </c>
      <c r="V5" s="4"/>
      <c r="W5" s="5"/>
    </row>
    <row r="6" spans="1:23" x14ac:dyDescent="0.25">
      <c r="A6" s="6">
        <v>39177</v>
      </c>
      <c r="B6" s="4">
        <v>-124</v>
      </c>
      <c r="C6" t="s">
        <v>20</v>
      </c>
      <c r="D6" s="4">
        <f t="shared" si="0"/>
        <v>0</v>
      </c>
      <c r="E6" s="4">
        <f t="shared" si="1"/>
        <v>0</v>
      </c>
      <c r="F6" s="4">
        <f t="shared" si="2"/>
        <v>0</v>
      </c>
      <c r="G6" s="4">
        <f t="shared" si="3"/>
        <v>0</v>
      </c>
      <c r="H6" s="4">
        <f>H5+B6</f>
        <v>1138920</v>
      </c>
      <c r="I6" s="4">
        <f>H6*J5</f>
        <v>0</v>
      </c>
      <c r="J6" s="5"/>
      <c r="K6" s="4">
        <f>B6*L3</f>
        <v>-27.597535318624793</v>
      </c>
      <c r="M6" s="4">
        <f>B6*N3</f>
        <v>-37.946454057678729</v>
      </c>
      <c r="O6" s="4">
        <f>B6*P3</f>
        <v>-9.0106044506481275</v>
      </c>
      <c r="Q6" s="4">
        <f>B6*R3</f>
        <v>-31.047133030194679</v>
      </c>
      <c r="S6" s="4">
        <f>B6*T3</f>
        <v>-18.398273142853668</v>
      </c>
      <c r="V6" s="4"/>
      <c r="W6" s="5"/>
    </row>
    <row r="7" spans="1:23" x14ac:dyDescent="0.25">
      <c r="A7" s="6">
        <v>39177</v>
      </c>
      <c r="B7" s="4">
        <v>0</v>
      </c>
      <c r="C7" t="s">
        <v>26</v>
      </c>
      <c r="D7" s="4">
        <f t="shared" ref="D7" si="4">D6</f>
        <v>0</v>
      </c>
      <c r="E7" s="4">
        <f t="shared" ref="E7" si="5">E6</f>
        <v>0</v>
      </c>
      <c r="F7" s="4">
        <f t="shared" ref="F7" si="6">F6</f>
        <v>0</v>
      </c>
      <c r="G7" s="4">
        <f t="shared" ref="G7" si="7">G6</f>
        <v>0</v>
      </c>
      <c r="H7" s="4">
        <v>1138920</v>
      </c>
      <c r="I7" s="4">
        <f>H7*J6</f>
        <v>0</v>
      </c>
      <c r="J7" s="5">
        <f>J6</f>
        <v>0</v>
      </c>
      <c r="K7" s="4">
        <f>SUM(K3:K6)</f>
        <v>231222.83381633606</v>
      </c>
      <c r="L7" s="10">
        <f>K7/H7</f>
        <v>0.20301938135807263</v>
      </c>
      <c r="M7" s="4">
        <f>SUM(M3:M6)</f>
        <v>392930.08104519016</v>
      </c>
      <c r="N7" s="10">
        <f>M7/H7</f>
        <v>0.34500235402415458</v>
      </c>
      <c r="O7" s="4">
        <f>SUM(O3:O6)</f>
        <v>85494.332063446389</v>
      </c>
      <c r="P7" s="10">
        <f>O7/H7</f>
        <v>7.5066143419596096E-2</v>
      </c>
      <c r="Q7" s="4">
        <f>SUM(Q3:Q6)</f>
        <v>260124.89877201495</v>
      </c>
      <c r="R7" s="10">
        <f>Q7/H7</f>
        <v>0.22839611102800456</v>
      </c>
      <c r="S7" s="4">
        <f>SUM(S3:S6)</f>
        <v>169147.8543030124</v>
      </c>
      <c r="T7" s="10">
        <f>S7/H7</f>
        <v>0.1485160101701721</v>
      </c>
      <c r="V7" s="4"/>
      <c r="W7" s="5"/>
    </row>
    <row r="8" spans="1:23" x14ac:dyDescent="0.25">
      <c r="A8" s="6">
        <v>39543</v>
      </c>
      <c r="B8" s="4">
        <v>200000</v>
      </c>
      <c r="C8" t="s">
        <v>21</v>
      </c>
      <c r="D8" s="4">
        <f>D7</f>
        <v>0</v>
      </c>
      <c r="E8" s="4">
        <f>E7</f>
        <v>0</v>
      </c>
      <c r="F8" s="4">
        <f>F7</f>
        <v>0</v>
      </c>
      <c r="G8" s="4">
        <f>G7</f>
        <v>0</v>
      </c>
      <c r="H8" s="4">
        <f>H7+B8</f>
        <v>1338920</v>
      </c>
      <c r="I8" s="4">
        <f>I7</f>
        <v>0</v>
      </c>
      <c r="J8" s="5"/>
      <c r="K8" s="4">
        <v>0</v>
      </c>
      <c r="M8" s="4">
        <v>150000</v>
      </c>
      <c r="O8" s="4">
        <v>20000</v>
      </c>
      <c r="Q8" s="4">
        <v>0</v>
      </c>
      <c r="S8" s="4">
        <v>30000</v>
      </c>
      <c r="V8" s="4"/>
      <c r="W8" s="5"/>
    </row>
    <row r="9" spans="1:23" x14ac:dyDescent="0.25">
      <c r="A9" s="6">
        <v>39543</v>
      </c>
      <c r="B9" s="4">
        <v>66785</v>
      </c>
      <c r="C9" t="s">
        <v>19</v>
      </c>
      <c r="D9" s="4">
        <f t="shared" ref="D9:D10" si="8">D8</f>
        <v>0</v>
      </c>
      <c r="E9" s="4">
        <f t="shared" ref="E9:E10" si="9">E8</f>
        <v>0</v>
      </c>
      <c r="F9" s="4">
        <f t="shared" ref="F9:F10" si="10">F8</f>
        <v>0</v>
      </c>
      <c r="G9" s="4">
        <f t="shared" ref="G9:G10" si="11">G8</f>
        <v>0</v>
      </c>
      <c r="H9" s="4">
        <f>H8+B9</f>
        <v>1405705</v>
      </c>
      <c r="I9" s="4">
        <f>H9*J8</f>
        <v>0</v>
      </c>
      <c r="J9" s="5"/>
      <c r="K9" s="4">
        <f>B9*L7</f>
        <v>13558.64938399888</v>
      </c>
      <c r="M9" s="4">
        <f>B9*N7</f>
        <v>23040.982213503165</v>
      </c>
      <c r="O9" s="4">
        <f>B9*P7</f>
        <v>5013.292388277725</v>
      </c>
      <c r="Q9" s="4">
        <f>B9*R7</f>
        <v>15253.434275005284</v>
      </c>
      <c r="S9" s="4">
        <f>B9*T7</f>
        <v>9918.6417392149433</v>
      </c>
      <c r="V9" s="4"/>
      <c r="W9" s="5"/>
    </row>
    <row r="10" spans="1:23" x14ac:dyDescent="0.25">
      <c r="A10" s="6">
        <v>39543</v>
      </c>
      <c r="B10" s="4">
        <v>-23</v>
      </c>
      <c r="C10" t="s">
        <v>20</v>
      </c>
      <c r="D10" s="4">
        <f t="shared" si="8"/>
        <v>0</v>
      </c>
      <c r="E10" s="4">
        <f t="shared" si="9"/>
        <v>0</v>
      </c>
      <c r="F10" s="4">
        <f t="shared" si="10"/>
        <v>0</v>
      </c>
      <c r="G10" s="4">
        <f t="shared" si="11"/>
        <v>0</v>
      </c>
      <c r="H10" s="4">
        <f>H9+B10</f>
        <v>1405682</v>
      </c>
      <c r="I10" s="4">
        <f>H10*J9</f>
        <v>0</v>
      </c>
      <c r="J10" s="5"/>
      <c r="K10" s="4">
        <f>B10*L7</f>
        <v>-4.6694457712356705</v>
      </c>
      <c r="M10" s="4">
        <f>B10*N7</f>
        <v>-7.935054142555555</v>
      </c>
      <c r="O10" s="4">
        <f>B10*P7</f>
        <v>-1.7265212986507101</v>
      </c>
      <c r="Q10" s="4">
        <f>B10*R7</f>
        <v>-5.2531105536441052</v>
      </c>
      <c r="S10" s="4">
        <f>B10*T7</f>
        <v>-3.4158682339139586</v>
      </c>
      <c r="V10" s="4"/>
      <c r="W10" s="5"/>
    </row>
    <row r="11" spans="1:23" x14ac:dyDescent="0.25">
      <c r="A11" s="6">
        <v>39543</v>
      </c>
      <c r="B11" s="4">
        <v>153811</v>
      </c>
      <c r="C11" t="s">
        <v>27</v>
      </c>
      <c r="D11" s="4">
        <f t="shared" ref="D11" si="12">D10</f>
        <v>0</v>
      </c>
      <c r="E11" s="4">
        <f t="shared" ref="E11" si="13">E10</f>
        <v>0</v>
      </c>
      <c r="F11" s="4">
        <f t="shared" ref="F11" si="14">F10</f>
        <v>0</v>
      </c>
      <c r="G11" s="4">
        <f t="shared" ref="G11" si="15">G10</f>
        <v>0</v>
      </c>
      <c r="H11" s="4">
        <f>H10+B11</f>
        <v>1559493</v>
      </c>
      <c r="I11" s="4">
        <f>H11*J10</f>
        <v>0</v>
      </c>
      <c r="J11" s="5"/>
      <c r="K11" s="4">
        <v>-72400</v>
      </c>
      <c r="M11" s="4">
        <v>0</v>
      </c>
      <c r="O11" s="4">
        <v>0</v>
      </c>
      <c r="Q11" s="4">
        <v>-81411</v>
      </c>
      <c r="S11" s="4">
        <v>0</v>
      </c>
      <c r="V11" s="4"/>
      <c r="W11" s="5"/>
    </row>
    <row r="12" spans="1:23" x14ac:dyDescent="0.25">
      <c r="A12" s="6">
        <v>39543</v>
      </c>
      <c r="B12" s="4">
        <v>0</v>
      </c>
      <c r="C12" t="s">
        <v>26</v>
      </c>
      <c r="D12" s="4">
        <f t="shared" ref="D12" si="16">D11</f>
        <v>0</v>
      </c>
      <c r="E12" s="4">
        <f t="shared" ref="E12" si="17">E11</f>
        <v>0</v>
      </c>
      <c r="F12" s="4">
        <f t="shared" ref="F12" si="18">F11</f>
        <v>0</v>
      </c>
      <c r="G12" s="4">
        <f t="shared" ref="G12" si="19">G11</f>
        <v>0</v>
      </c>
      <c r="H12" s="4">
        <v>1251871</v>
      </c>
      <c r="I12" s="4">
        <f>H12*J11</f>
        <v>0</v>
      </c>
      <c r="J12" s="5">
        <f>J11</f>
        <v>0</v>
      </c>
      <c r="K12" s="4">
        <f>SUM(K7:K11)</f>
        <v>172376.81375456371</v>
      </c>
      <c r="L12" s="10">
        <f>K12/H12</f>
        <v>0.13769534860585772</v>
      </c>
      <c r="M12" s="4">
        <f>SUM(M7:M11)</f>
        <v>565963.12820455071</v>
      </c>
      <c r="N12" s="10">
        <f>M12/H12</f>
        <v>0.45209380855100145</v>
      </c>
      <c r="O12" s="4">
        <f>SUM(O7:O11)</f>
        <v>110505.89793042546</v>
      </c>
      <c r="P12" s="10">
        <f>O12/H12</f>
        <v>8.8272591928741428E-2</v>
      </c>
      <c r="Q12" s="4">
        <f>SUM(Q7:Q11)</f>
        <v>193962.07993646659</v>
      </c>
      <c r="R12" s="10">
        <f>Q12/H12</f>
        <v>0.15493775312030281</v>
      </c>
      <c r="S12" s="4">
        <f>SUM(S7:S11)</f>
        <v>209063.08017399342</v>
      </c>
      <c r="T12" s="10">
        <f>S12/H12</f>
        <v>0.16700049779409654</v>
      </c>
      <c r="V12" s="4"/>
      <c r="W12" s="5"/>
    </row>
    <row r="13" spans="1:23" x14ac:dyDescent="0.25">
      <c r="A13" s="6">
        <v>39908</v>
      </c>
      <c r="B13" s="4">
        <v>0</v>
      </c>
      <c r="C13" t="s">
        <v>21</v>
      </c>
      <c r="D13" s="4">
        <f>D12</f>
        <v>0</v>
      </c>
      <c r="E13" s="4">
        <f>E12</f>
        <v>0</v>
      </c>
      <c r="F13" s="4">
        <f>F12</f>
        <v>0</v>
      </c>
      <c r="G13" s="4">
        <f>G12</f>
        <v>0</v>
      </c>
      <c r="H13" s="4">
        <f>H12+B13</f>
        <v>1251871</v>
      </c>
      <c r="I13" s="4">
        <f>I12</f>
        <v>0</v>
      </c>
      <c r="J13" s="5"/>
      <c r="K13" s="4">
        <v>0</v>
      </c>
      <c r="M13" s="4">
        <v>0</v>
      </c>
      <c r="O13" s="4">
        <v>0</v>
      </c>
      <c r="Q13" s="4">
        <v>0</v>
      </c>
      <c r="S13" s="4">
        <v>0</v>
      </c>
      <c r="V13" s="4"/>
      <c r="W13" s="5"/>
    </row>
    <row r="14" spans="1:23" x14ac:dyDescent="0.25">
      <c r="A14" s="6">
        <v>39908</v>
      </c>
      <c r="B14" s="4">
        <v>66766</v>
      </c>
      <c r="C14" t="s">
        <v>19</v>
      </c>
      <c r="D14" s="4">
        <f t="shared" ref="D14:D17" si="20">D13</f>
        <v>0</v>
      </c>
      <c r="E14" s="4">
        <f t="shared" ref="E14:E17" si="21">E13</f>
        <v>0</v>
      </c>
      <c r="F14" s="4">
        <f t="shared" ref="F14:F17" si="22">F13</f>
        <v>0</v>
      </c>
      <c r="G14" s="4">
        <f t="shared" ref="G14:G17" si="23">G13</f>
        <v>0</v>
      </c>
      <c r="H14" s="4">
        <f>H13+B14</f>
        <v>1318637</v>
      </c>
      <c r="I14" s="4">
        <f>H14*J13</f>
        <v>0</v>
      </c>
      <c r="J14" s="5"/>
      <c r="K14" s="4">
        <f>B14*L12</f>
        <v>9193.3676450186958</v>
      </c>
      <c r="M14" s="4">
        <f>B14*N12</f>
        <v>30184.495221716163</v>
      </c>
      <c r="O14" s="4">
        <f>B14*P12</f>
        <v>5893.6078727143504</v>
      </c>
      <c r="Q14" s="4">
        <f>B14*R12</f>
        <v>10344.574024830137</v>
      </c>
      <c r="S14" s="4">
        <f>B14*T12</f>
        <v>11149.955235720648</v>
      </c>
      <c r="V14" s="4"/>
      <c r="W14" s="5"/>
    </row>
    <row r="15" spans="1:23" x14ac:dyDescent="0.25">
      <c r="A15" s="6">
        <v>39908</v>
      </c>
      <c r="B15" s="4">
        <v>-75</v>
      </c>
      <c r="C15" t="s">
        <v>20</v>
      </c>
      <c r="D15" s="4">
        <f t="shared" si="20"/>
        <v>0</v>
      </c>
      <c r="E15" s="4">
        <f t="shared" si="21"/>
        <v>0</v>
      </c>
      <c r="F15" s="4">
        <f t="shared" si="22"/>
        <v>0</v>
      </c>
      <c r="G15" s="4">
        <f t="shared" si="23"/>
        <v>0</v>
      </c>
      <c r="H15" s="4">
        <f>H14+B15</f>
        <v>1318562</v>
      </c>
      <c r="I15" s="4">
        <f>H15*J14</f>
        <v>0</v>
      </c>
      <c r="J15" s="5"/>
      <c r="K15" s="4">
        <f>B15*L12</f>
        <v>-10.327151145439329</v>
      </c>
      <c r="M15" s="4">
        <f>B15*N12</f>
        <v>-33.907035641325109</v>
      </c>
      <c r="O15" s="4">
        <f>B15*P12</f>
        <v>-6.6204443946556069</v>
      </c>
      <c r="Q15" s="4">
        <f>B15*R12</f>
        <v>-11.62033148402271</v>
      </c>
      <c r="S15" s="4">
        <f>B15*T12</f>
        <v>-12.52503733455724</v>
      </c>
      <c r="V15" s="4"/>
      <c r="W15" s="5"/>
    </row>
    <row r="16" spans="1:23" x14ac:dyDescent="0.25">
      <c r="A16" s="6">
        <v>39908</v>
      </c>
      <c r="B16" s="4">
        <v>0</v>
      </c>
      <c r="C16" t="s">
        <v>27</v>
      </c>
      <c r="D16" s="4">
        <f t="shared" si="20"/>
        <v>0</v>
      </c>
      <c r="E16" s="4">
        <f t="shared" si="21"/>
        <v>0</v>
      </c>
      <c r="F16" s="4">
        <f t="shared" si="22"/>
        <v>0</v>
      </c>
      <c r="G16" s="4">
        <f t="shared" si="23"/>
        <v>0</v>
      </c>
      <c r="H16" s="4">
        <f>H15+B16</f>
        <v>1318562</v>
      </c>
      <c r="I16" s="4">
        <f>H16*J15</f>
        <v>0</v>
      </c>
      <c r="J16" s="5"/>
      <c r="K16" s="4">
        <v>0</v>
      </c>
      <c r="M16" s="4">
        <v>0</v>
      </c>
      <c r="O16" s="4">
        <v>0</v>
      </c>
      <c r="Q16" s="4">
        <v>0</v>
      </c>
      <c r="S16" s="4">
        <v>0</v>
      </c>
      <c r="V16" s="4"/>
      <c r="W16" s="5"/>
    </row>
    <row r="17" spans="1:23" x14ac:dyDescent="0.25">
      <c r="A17" s="6">
        <v>39908</v>
      </c>
      <c r="B17" s="4">
        <v>0</v>
      </c>
      <c r="C17" t="s">
        <v>26</v>
      </c>
      <c r="D17" s="4">
        <f t="shared" si="20"/>
        <v>0</v>
      </c>
      <c r="E17" s="4">
        <f t="shared" si="21"/>
        <v>0</v>
      </c>
      <c r="F17" s="4">
        <f t="shared" si="22"/>
        <v>0</v>
      </c>
      <c r="G17" s="4">
        <f t="shared" si="23"/>
        <v>0</v>
      </c>
      <c r="H17" s="4">
        <v>1318562</v>
      </c>
      <c r="I17" s="4">
        <f>H17*J16</f>
        <v>0</v>
      </c>
      <c r="J17" s="5">
        <f>J16</f>
        <v>0</v>
      </c>
      <c r="K17" s="4">
        <f>SUM(K12:K16)</f>
        <v>181559.85424843698</v>
      </c>
      <c r="L17" s="10">
        <f>K17/H17</f>
        <v>0.13769534860585772</v>
      </c>
      <c r="M17" s="4">
        <f>SUM(M12:M16)</f>
        <v>596113.71639062546</v>
      </c>
      <c r="N17" s="10">
        <f>M17/H17</f>
        <v>0.45209380855100134</v>
      </c>
      <c r="O17" s="4">
        <f>SUM(O12:O16)</f>
        <v>116392.88535874514</v>
      </c>
      <c r="P17" s="10">
        <f>O17/H17</f>
        <v>8.8272591928741415E-2</v>
      </c>
      <c r="Q17" s="4">
        <f>SUM(Q12:Q16)</f>
        <v>204295.03362981271</v>
      </c>
      <c r="R17" s="10">
        <f>Q17/H17</f>
        <v>0.15493775312030281</v>
      </c>
      <c r="S17" s="4">
        <f>SUM(S12:S16)</f>
        <v>220200.5103723795</v>
      </c>
      <c r="T17" s="10">
        <f>S17/H17</f>
        <v>0.16700049779409654</v>
      </c>
      <c r="V17" s="4"/>
      <c r="W17" s="5"/>
    </row>
    <row r="18" spans="1:23" x14ac:dyDescent="0.25">
      <c r="A18" s="6">
        <v>40273</v>
      </c>
      <c r="B18" s="4">
        <v>0</v>
      </c>
      <c r="C18" t="s">
        <v>21</v>
      </c>
      <c r="D18" s="4">
        <f>D17</f>
        <v>0</v>
      </c>
      <c r="E18" s="4">
        <f>E17</f>
        <v>0</v>
      </c>
      <c r="F18" s="4">
        <f>F17</f>
        <v>0</v>
      </c>
      <c r="G18" s="4">
        <f>G17</f>
        <v>0</v>
      </c>
      <c r="H18" s="4">
        <f>H17+B18</f>
        <v>1318562</v>
      </c>
      <c r="I18" s="4">
        <f>I17</f>
        <v>0</v>
      </c>
      <c r="J18" s="5"/>
      <c r="K18" s="4">
        <v>0</v>
      </c>
      <c r="M18" s="4">
        <v>0</v>
      </c>
      <c r="O18" s="4">
        <v>0</v>
      </c>
      <c r="Q18" s="4">
        <v>0</v>
      </c>
      <c r="S18" s="4">
        <v>0</v>
      </c>
      <c r="V18" s="4"/>
      <c r="W18" s="5"/>
    </row>
    <row r="19" spans="1:23" x14ac:dyDescent="0.25">
      <c r="A19" s="6">
        <v>40273</v>
      </c>
      <c r="B19" s="4">
        <f>4276.82+14041.77+2742.51+4811.04+5186.96</f>
        <v>31059.1</v>
      </c>
      <c r="C19" t="s">
        <v>19</v>
      </c>
      <c r="D19" s="4">
        <f t="shared" ref="D19:D22" si="24">D18</f>
        <v>0</v>
      </c>
      <c r="E19" s="4">
        <f t="shared" ref="E19:E22" si="25">E18</f>
        <v>0</v>
      </c>
      <c r="F19" s="4">
        <f t="shared" ref="F19:F22" si="26">F18</f>
        <v>0</v>
      </c>
      <c r="G19" s="4">
        <f t="shared" ref="G19:G22" si="27">G18</f>
        <v>0</v>
      </c>
      <c r="H19" s="4">
        <f>H18+B19</f>
        <v>1349621.1</v>
      </c>
      <c r="I19" s="4">
        <f>H19*J18</f>
        <v>0</v>
      </c>
      <c r="J19" s="5"/>
      <c r="K19" s="4">
        <f>B19*L17</f>
        <v>4276.6936018841952</v>
      </c>
      <c r="M19" s="4">
        <f>B19*N17</f>
        <v>14041.626809166406</v>
      </c>
      <c r="O19" s="4">
        <f>B19*P17</f>
        <v>2741.6672599739723</v>
      </c>
      <c r="Q19" s="4">
        <f>B19*R17</f>
        <v>4812.2271679387968</v>
      </c>
      <c r="S19" s="4">
        <f>B19*T17</f>
        <v>5186.8851610366237</v>
      </c>
      <c r="V19" s="4"/>
      <c r="W19" s="5"/>
    </row>
    <row r="20" spans="1:23" x14ac:dyDescent="0.25">
      <c r="A20" s="6">
        <v>40273</v>
      </c>
      <c r="B20" s="4">
        <f>-708.05-2324.7-454.04-796.5-858.71</f>
        <v>-5142</v>
      </c>
      <c r="C20" t="s">
        <v>20</v>
      </c>
      <c r="D20" s="4">
        <f t="shared" si="24"/>
        <v>0</v>
      </c>
      <c r="E20" s="4">
        <f t="shared" si="25"/>
        <v>0</v>
      </c>
      <c r="F20" s="4">
        <f t="shared" si="26"/>
        <v>0</v>
      </c>
      <c r="G20" s="4">
        <f t="shared" si="27"/>
        <v>0</v>
      </c>
      <c r="H20" s="4">
        <f>H19+B20</f>
        <v>1344479.1</v>
      </c>
      <c r="I20" s="4">
        <f>H20*J19</f>
        <v>0</v>
      </c>
      <c r="J20" s="5"/>
      <c r="K20" s="4">
        <f>B20*L17</f>
        <v>-708.02948253132035</v>
      </c>
      <c r="M20" s="4">
        <f>B20*N17</f>
        <v>-2324.6663635692489</v>
      </c>
      <c r="O20" s="4">
        <f>B20*P17</f>
        <v>-453.89766769758836</v>
      </c>
      <c r="Q20" s="4">
        <f>B20*R17</f>
        <v>-796.68992654459703</v>
      </c>
      <c r="S20" s="4">
        <f>B20*T17</f>
        <v>-858.71655965724437</v>
      </c>
      <c r="V20" s="4"/>
      <c r="W20" s="5"/>
    </row>
    <row r="21" spans="1:23" x14ac:dyDescent="0.25">
      <c r="A21" s="6">
        <v>40273</v>
      </c>
      <c r="B21" s="4">
        <v>-14962</v>
      </c>
      <c r="C21" t="s">
        <v>27</v>
      </c>
      <c r="D21" s="4">
        <f t="shared" si="24"/>
        <v>0</v>
      </c>
      <c r="E21" s="4">
        <f t="shared" si="25"/>
        <v>0</v>
      </c>
      <c r="F21" s="4">
        <f t="shared" si="26"/>
        <v>0</v>
      </c>
      <c r="G21" s="4">
        <f t="shared" si="27"/>
        <v>0</v>
      </c>
      <c r="H21" s="4">
        <f>H20+B21</f>
        <v>1329517.1000000001</v>
      </c>
      <c r="I21" s="4">
        <f>H21*J20</f>
        <v>0</v>
      </c>
      <c r="J21" s="5"/>
      <c r="K21" s="4">
        <v>-14962</v>
      </c>
      <c r="M21" s="4">
        <v>0</v>
      </c>
      <c r="O21" s="4">
        <v>0</v>
      </c>
      <c r="Q21" s="4">
        <v>0</v>
      </c>
      <c r="S21" s="4">
        <v>0</v>
      </c>
      <c r="V21" s="4"/>
      <c r="W21" s="5"/>
    </row>
    <row r="22" spans="1:23" x14ac:dyDescent="0.25">
      <c r="A22" s="6">
        <v>40273</v>
      </c>
      <c r="B22" s="4">
        <v>0</v>
      </c>
      <c r="C22" t="s">
        <v>26</v>
      </c>
      <c r="D22" s="4">
        <f t="shared" si="24"/>
        <v>0</v>
      </c>
      <c r="E22" s="4">
        <f t="shared" si="25"/>
        <v>0</v>
      </c>
      <c r="F22" s="4">
        <f t="shared" si="26"/>
        <v>0</v>
      </c>
      <c r="G22" s="4">
        <f t="shared" si="27"/>
        <v>0</v>
      </c>
      <c r="H22" s="4">
        <f>K22+M22+O22+Q22+S22</f>
        <v>1329517.0999999999</v>
      </c>
      <c r="I22" s="4">
        <f>H22*J21</f>
        <v>0</v>
      </c>
      <c r="J22" s="5">
        <f>J21</f>
        <v>0</v>
      </c>
      <c r="K22" s="4">
        <f>SUM(K17:K21)</f>
        <v>170166.51836778983</v>
      </c>
      <c r="L22" s="10">
        <f>K22/H22</f>
        <v>0.12799122205181854</v>
      </c>
      <c r="M22" s="4">
        <f>SUM(M17:M21)</f>
        <v>607830.67683622264</v>
      </c>
      <c r="N22" s="10">
        <f>M22/H22</f>
        <v>0.45718154120486504</v>
      </c>
      <c r="O22" s="4">
        <f>SUM(O17:O21)</f>
        <v>118680.65495102153</v>
      </c>
      <c r="P22" s="10">
        <f>O22/H22</f>
        <v>8.9265986086994695E-2</v>
      </c>
      <c r="Q22" s="4">
        <f>SUM(Q17:Q21)</f>
        <v>208310.57087120693</v>
      </c>
      <c r="R22" s="10">
        <f>Q22/H22</f>
        <v>0.15668137767555373</v>
      </c>
      <c r="S22" s="4">
        <f>SUM(S17:S21)</f>
        <v>224528.67897375888</v>
      </c>
      <c r="T22" s="10">
        <f>S22/H22</f>
        <v>0.1688798729807679</v>
      </c>
      <c r="V22" s="4"/>
      <c r="W22" s="5"/>
    </row>
    <row r="23" spans="1:23" x14ac:dyDescent="0.25">
      <c r="A23" s="6">
        <v>40638</v>
      </c>
      <c r="B23" s="4">
        <v>200000</v>
      </c>
      <c r="C23" s="7" t="s">
        <v>32</v>
      </c>
      <c r="D23" s="4">
        <f>D22</f>
        <v>0</v>
      </c>
      <c r="E23" s="4">
        <f>E22</f>
        <v>0</v>
      </c>
      <c r="F23" s="4">
        <f>F22</f>
        <v>0</v>
      </c>
      <c r="G23" s="4">
        <f>G22</f>
        <v>0</v>
      </c>
      <c r="H23" s="4">
        <f t="shared" ref="H23:H28" si="28">H22+B23</f>
        <v>1529517.0999999999</v>
      </c>
      <c r="I23" s="8">
        <v>0</v>
      </c>
      <c r="J23" s="5"/>
      <c r="K23" s="4">
        <v>0</v>
      </c>
      <c r="M23" s="4">
        <f>200000*0.85</f>
        <v>170000</v>
      </c>
      <c r="O23" s="4">
        <f>200000*0.15</f>
        <v>30000</v>
      </c>
      <c r="Q23" s="4">
        <v>0</v>
      </c>
      <c r="S23" s="4">
        <v>0</v>
      </c>
      <c r="V23" s="4"/>
      <c r="W23" s="5"/>
    </row>
    <row r="24" spans="1:23" x14ac:dyDescent="0.25">
      <c r="A24" s="6">
        <v>40638</v>
      </c>
      <c r="B24" s="4">
        <f>5778.3+20639.98+4030.02+551.71+5186.96</f>
        <v>36186.97</v>
      </c>
      <c r="C24" t="s">
        <v>19</v>
      </c>
      <c r="D24" s="4">
        <f t="shared" ref="D24:D26" si="29">D23</f>
        <v>0</v>
      </c>
      <c r="E24" s="4">
        <f t="shared" ref="E24:E26" si="30">E23</f>
        <v>0</v>
      </c>
      <c r="F24" s="4">
        <f t="shared" ref="F24:F26" si="31">F23</f>
        <v>0</v>
      </c>
      <c r="G24" s="4">
        <f t="shared" ref="G24:G26" si="32">G23</f>
        <v>0</v>
      </c>
      <c r="H24" s="4">
        <f t="shared" si="28"/>
        <v>1565704.0699999998</v>
      </c>
      <c r="I24" s="4">
        <f>H24*J23</f>
        <v>0</v>
      </c>
      <c r="J24" s="5"/>
      <c r="K24" s="4">
        <v>5778.3</v>
      </c>
      <c r="M24" s="4">
        <v>20639.98</v>
      </c>
      <c r="O24" s="4">
        <v>4030.02</v>
      </c>
      <c r="Q24" s="4">
        <v>551.71</v>
      </c>
      <c r="S24" s="4">
        <v>0</v>
      </c>
      <c r="V24" s="4"/>
      <c r="W24" s="5"/>
    </row>
    <row r="25" spans="1:23" x14ac:dyDescent="0.25">
      <c r="A25" s="6">
        <v>40638</v>
      </c>
      <c r="B25" s="4">
        <f>-1361.84-381.26-265.9</f>
        <v>-2009</v>
      </c>
      <c r="C25" t="s">
        <v>20</v>
      </c>
      <c r="D25" s="4">
        <f t="shared" si="29"/>
        <v>0</v>
      </c>
      <c r="E25" s="4">
        <f t="shared" si="30"/>
        <v>0</v>
      </c>
      <c r="F25" s="4">
        <f t="shared" si="31"/>
        <v>0</v>
      </c>
      <c r="G25" s="4">
        <f t="shared" si="32"/>
        <v>0</v>
      </c>
      <c r="H25" s="4">
        <f t="shared" si="28"/>
        <v>1563695.0699999998</v>
      </c>
      <c r="I25" s="4">
        <f>H25*J24</f>
        <v>0</v>
      </c>
      <c r="J25" s="5"/>
      <c r="K25" s="4">
        <v>-381.26</v>
      </c>
      <c r="M25" s="4">
        <v>-1361.84</v>
      </c>
      <c r="O25" s="4">
        <v>-265.89999999999998</v>
      </c>
      <c r="Q25" s="4">
        <f>0</f>
        <v>0</v>
      </c>
      <c r="S25" s="4">
        <v>0</v>
      </c>
      <c r="V25" s="4"/>
      <c r="W25" s="5"/>
    </row>
    <row r="26" spans="1:23" x14ac:dyDescent="0.25">
      <c r="A26" s="6">
        <v>40638</v>
      </c>
      <c r="B26" s="4">
        <v>-14962</v>
      </c>
      <c r="C26" t="s">
        <v>27</v>
      </c>
      <c r="D26" s="4">
        <f t="shared" si="29"/>
        <v>0</v>
      </c>
      <c r="E26" s="4">
        <f t="shared" si="30"/>
        <v>0</v>
      </c>
      <c r="F26" s="4">
        <f t="shared" si="31"/>
        <v>0</v>
      </c>
      <c r="G26" s="4">
        <f t="shared" si="32"/>
        <v>0</v>
      </c>
      <c r="H26" s="4">
        <f t="shared" si="28"/>
        <v>1548733.0699999998</v>
      </c>
      <c r="I26" s="4">
        <f>H26*J25</f>
        <v>0</v>
      </c>
      <c r="J26" s="5"/>
      <c r="K26" s="4">
        <v>-14962</v>
      </c>
      <c r="M26" s="4">
        <v>0</v>
      </c>
      <c r="O26" s="4">
        <v>0</v>
      </c>
      <c r="Q26" s="4">
        <v>0</v>
      </c>
      <c r="S26" s="4">
        <v>0</v>
      </c>
      <c r="V26" s="4"/>
      <c r="W26" s="5"/>
    </row>
    <row r="27" spans="1:23" x14ac:dyDescent="0.25">
      <c r="A27" s="6">
        <v>40638</v>
      </c>
      <c r="B27" s="4">
        <v>-208862.28</v>
      </c>
      <c r="C27" t="s">
        <v>28</v>
      </c>
      <c r="D27" s="4">
        <v>0</v>
      </c>
      <c r="E27" s="4">
        <v>0</v>
      </c>
      <c r="F27" s="4">
        <v>0</v>
      </c>
      <c r="G27" s="4">
        <v>0</v>
      </c>
      <c r="H27" s="4">
        <f t="shared" si="28"/>
        <v>1339870.7899999998</v>
      </c>
      <c r="I27" s="4">
        <f>H27*J26</f>
        <v>0</v>
      </c>
      <c r="J27" s="5"/>
      <c r="K27" s="4">
        <v>0</v>
      </c>
      <c r="M27" s="4">
        <v>0</v>
      </c>
      <c r="O27" s="4">
        <v>0</v>
      </c>
      <c r="Q27" s="4">
        <v>-208861.84</v>
      </c>
      <c r="S27" s="4">
        <v>0</v>
      </c>
      <c r="V27" s="4"/>
      <c r="W27" s="5"/>
    </row>
    <row r="28" spans="1:23" x14ac:dyDescent="0.25">
      <c r="A28" s="6">
        <v>40638</v>
      </c>
      <c r="B28" s="4">
        <v>-224529</v>
      </c>
      <c r="C28" t="s">
        <v>29</v>
      </c>
      <c r="D28" s="4">
        <v>0</v>
      </c>
      <c r="E28" s="4">
        <v>0</v>
      </c>
      <c r="F28" s="4">
        <v>0</v>
      </c>
      <c r="G28" s="4">
        <v>0</v>
      </c>
      <c r="H28" s="4">
        <f t="shared" si="28"/>
        <v>1115341.7899999998</v>
      </c>
      <c r="I28" s="4">
        <f>H28*J27</f>
        <v>0</v>
      </c>
      <c r="J28" s="5"/>
      <c r="K28" s="4">
        <v>0</v>
      </c>
      <c r="M28" s="4">
        <v>0</v>
      </c>
      <c r="O28" s="4">
        <v>0</v>
      </c>
      <c r="Q28" s="4">
        <v>0</v>
      </c>
      <c r="S28" s="4">
        <v>-224529</v>
      </c>
      <c r="V28" s="4"/>
      <c r="W28" s="5"/>
    </row>
    <row r="29" spans="1:23" x14ac:dyDescent="0.25">
      <c r="A29" s="6">
        <v>40638</v>
      </c>
      <c r="B29" s="4">
        <v>0</v>
      </c>
      <c r="C29" t="s">
        <v>26</v>
      </c>
      <c r="D29" s="4">
        <f>D26</f>
        <v>0</v>
      </c>
      <c r="E29" s="4">
        <f>E26</f>
        <v>0</v>
      </c>
      <c r="F29" s="4">
        <f>F26</f>
        <v>0</v>
      </c>
      <c r="G29" s="4">
        <f>G26</f>
        <v>0</v>
      </c>
      <c r="H29" s="4">
        <f>I29+K29+M29+O29+Q29+S29</f>
        <v>1110155.1501550339</v>
      </c>
      <c r="I29" s="4">
        <f>SUM(I22:I28)</f>
        <v>0</v>
      </c>
      <c r="J29" s="5">
        <f>I29/H29</f>
        <v>0</v>
      </c>
      <c r="K29" s="4">
        <f>SUM(K22:K28)</f>
        <v>160601.55836778981</v>
      </c>
      <c r="L29" s="10">
        <f>K29/H29</f>
        <v>0.14466586796031319</v>
      </c>
      <c r="M29" s="4">
        <f>SUM(M22:M28)</f>
        <v>797108.81683622266</v>
      </c>
      <c r="N29" s="10">
        <f>M29/H29</f>
        <v>0.71801569062207737</v>
      </c>
      <c r="O29" s="4">
        <f>SUM(O22:O28)</f>
        <v>152444.77495102154</v>
      </c>
      <c r="P29" s="10">
        <f>O29/H29</f>
        <v>0.13731844141760954</v>
      </c>
      <c r="Q29" s="4">
        <v>0</v>
      </c>
      <c r="R29" s="10">
        <f>Q29/H29</f>
        <v>0</v>
      </c>
      <c r="S29" s="4">
        <v>0</v>
      </c>
      <c r="T29" s="10">
        <f>S29/H29</f>
        <v>0</v>
      </c>
      <c r="V29" s="4"/>
      <c r="W29" s="5"/>
    </row>
    <row r="30" spans="1:23" x14ac:dyDescent="0.25">
      <c r="A30" s="6">
        <v>41004</v>
      </c>
      <c r="B30" s="4">
        <v>300000</v>
      </c>
      <c r="C30" t="s">
        <v>21</v>
      </c>
      <c r="D30" s="4">
        <f>D29</f>
        <v>0</v>
      </c>
      <c r="E30" s="4">
        <f>E29</f>
        <v>0</v>
      </c>
      <c r="F30" s="4">
        <f>F29</f>
        <v>0</v>
      </c>
      <c r="G30" s="4">
        <f>G29</f>
        <v>0</v>
      </c>
      <c r="H30" s="4">
        <f>H29+B30</f>
        <v>1410155.1501550339</v>
      </c>
      <c r="I30" s="4">
        <f>I29</f>
        <v>0</v>
      </c>
      <c r="J30" s="5"/>
      <c r="K30" s="4">
        <v>0</v>
      </c>
      <c r="M30" s="4">
        <v>50000</v>
      </c>
      <c r="O30" s="4">
        <v>50000</v>
      </c>
    </row>
    <row r="31" spans="1:23" x14ac:dyDescent="0.25">
      <c r="A31" s="6">
        <v>41004</v>
      </c>
      <c r="B31" s="4">
        <f>22777.89+88942.14+17366.22+28365.75</f>
        <v>157452</v>
      </c>
      <c r="C31" t="s">
        <v>19</v>
      </c>
      <c r="D31" s="4">
        <f t="shared" ref="D31:D34" si="33">D30</f>
        <v>0</v>
      </c>
      <c r="E31" s="4">
        <f t="shared" ref="E31:E34" si="34">E30</f>
        <v>0</v>
      </c>
      <c r="F31" s="4">
        <f t="shared" ref="F31:F34" si="35">F30</f>
        <v>0</v>
      </c>
      <c r="G31" s="4">
        <f t="shared" ref="G31:G34" si="36">G30</f>
        <v>0</v>
      </c>
      <c r="H31" s="4">
        <f>H30+B31</f>
        <v>1567607.1501550339</v>
      </c>
      <c r="I31" s="4">
        <f>B31*J29</f>
        <v>0</v>
      </c>
      <c r="J31" s="5"/>
      <c r="K31" s="4">
        <f>B31*L29</f>
        <v>22777.930242087234</v>
      </c>
      <c r="M31" s="4">
        <f>B31*N29</f>
        <v>113053.00651982732</v>
      </c>
      <c r="O31" s="4">
        <f>B31*P29</f>
        <v>21621.063238085459</v>
      </c>
    </row>
    <row r="32" spans="1:23" x14ac:dyDescent="0.25">
      <c r="A32" s="6">
        <v>41004</v>
      </c>
      <c r="B32" s="4">
        <f>-1234.78-991.54-3871.72-755.96</f>
        <v>-6853.9999999999991</v>
      </c>
      <c r="C32" t="s">
        <v>20</v>
      </c>
      <c r="D32" s="4">
        <f t="shared" si="33"/>
        <v>0</v>
      </c>
      <c r="E32" s="4">
        <f t="shared" si="34"/>
        <v>0</v>
      </c>
      <c r="F32" s="4">
        <f t="shared" si="35"/>
        <v>0</v>
      </c>
      <c r="G32" s="4">
        <f t="shared" si="36"/>
        <v>0</v>
      </c>
      <c r="H32" s="4">
        <f>H31+B32</f>
        <v>1560753.1501550339</v>
      </c>
      <c r="I32" s="4">
        <f>B32*J30</f>
        <v>0</v>
      </c>
      <c r="J32" s="5"/>
      <c r="K32" s="4">
        <f>B32*L29</f>
        <v>-991.53985899998645</v>
      </c>
      <c r="M32" s="4">
        <f>B32*N29</f>
        <v>-4921.2795435237176</v>
      </c>
      <c r="O32" s="4">
        <f>B32*P29</f>
        <v>-941.1805974762957</v>
      </c>
      <c r="V32" s="4"/>
      <c r="W32" s="5"/>
    </row>
    <row r="33" spans="1:24" x14ac:dyDescent="0.25">
      <c r="A33" s="6">
        <v>41004</v>
      </c>
      <c r="B33" s="4">
        <v>-14992</v>
      </c>
      <c r="C33" t="s">
        <v>27</v>
      </c>
      <c r="D33" s="4">
        <f t="shared" si="33"/>
        <v>0</v>
      </c>
      <c r="E33" s="4">
        <f t="shared" si="34"/>
        <v>0</v>
      </c>
      <c r="F33" s="4">
        <f t="shared" si="35"/>
        <v>0</v>
      </c>
      <c r="G33" s="4">
        <f t="shared" si="36"/>
        <v>0</v>
      </c>
      <c r="H33" s="4">
        <f>H32+B33</f>
        <v>1545761.1501550339</v>
      </c>
      <c r="I33" s="4">
        <v>0</v>
      </c>
      <c r="J33" s="5"/>
      <c r="K33" s="4">
        <v>-14992</v>
      </c>
      <c r="M33" s="4">
        <v>0</v>
      </c>
      <c r="O33" s="4">
        <v>0</v>
      </c>
      <c r="V33" s="4"/>
      <c r="W33" s="5"/>
    </row>
    <row r="34" spans="1:24" x14ac:dyDescent="0.25">
      <c r="A34" s="6">
        <v>41004</v>
      </c>
      <c r="B34" s="4">
        <v>0</v>
      </c>
      <c r="C34" t="s">
        <v>26</v>
      </c>
      <c r="D34" s="4">
        <f t="shared" si="33"/>
        <v>0</v>
      </c>
      <c r="E34" s="4">
        <f t="shared" si="34"/>
        <v>0</v>
      </c>
      <c r="F34" s="4">
        <f t="shared" si="35"/>
        <v>0</v>
      </c>
      <c r="G34" s="4">
        <f t="shared" si="36"/>
        <v>0</v>
      </c>
      <c r="H34" s="4">
        <f>I34+K34+M34+O34+Q34+S34</f>
        <v>1345761.1501550339</v>
      </c>
      <c r="I34" s="4">
        <f>SUM(I29:I33)</f>
        <v>0</v>
      </c>
      <c r="J34" s="5">
        <f>I34/H34</f>
        <v>0</v>
      </c>
      <c r="K34" s="4">
        <f>SUM(K29:K33)</f>
        <v>167395.94875087705</v>
      </c>
      <c r="L34" s="10">
        <f>K34/H34</f>
        <v>0.1243875621848593</v>
      </c>
      <c r="M34" s="4">
        <f>SUM(M29:M33)</f>
        <v>955240.54381252627</v>
      </c>
      <c r="N34" s="10">
        <f>M34/H34</f>
        <v>0.7098143260432811</v>
      </c>
      <c r="O34" s="4">
        <f>SUM(O29:O33)</f>
        <v>223124.6575916307</v>
      </c>
      <c r="P34" s="10">
        <f>O34/H34</f>
        <v>0.16579811177185966</v>
      </c>
      <c r="R34" s="4"/>
      <c r="V34" s="4"/>
      <c r="W34" s="5"/>
      <c r="X34" s="4"/>
    </row>
    <row r="35" spans="1:24" x14ac:dyDescent="0.25">
      <c r="A35" s="6">
        <v>41369</v>
      </c>
      <c r="B35" s="4">
        <v>100000</v>
      </c>
      <c r="C35" s="7" t="s">
        <v>32</v>
      </c>
      <c r="D35" s="4">
        <f>D34</f>
        <v>0</v>
      </c>
      <c r="E35" s="4">
        <f>E34</f>
        <v>0</v>
      </c>
      <c r="F35" s="4">
        <f>F34</f>
        <v>0</v>
      </c>
      <c r="G35" s="4">
        <f>G34</f>
        <v>0</v>
      </c>
      <c r="H35" s="4">
        <f>H34+B35</f>
        <v>1445761.1501550339</v>
      </c>
      <c r="I35" s="8">
        <v>0</v>
      </c>
      <c r="J35" s="5"/>
      <c r="K35" s="4">
        <v>0</v>
      </c>
      <c r="M35" s="4">
        <f>100000*0.85</f>
        <v>85000</v>
      </c>
      <c r="O35" s="4">
        <f>I35*0.15</f>
        <v>0</v>
      </c>
      <c r="V35" s="4"/>
      <c r="W35" s="5"/>
    </row>
    <row r="36" spans="1:24" x14ac:dyDescent="0.25">
      <c r="A36" s="6">
        <v>41369</v>
      </c>
      <c r="B36" s="4">
        <f>43659.73+17110.57+77907.18+19324.53</f>
        <v>158002.00999999998</v>
      </c>
      <c r="C36" t="s">
        <v>19</v>
      </c>
      <c r="D36" s="4">
        <f t="shared" ref="D36:D39" si="37">D35</f>
        <v>0</v>
      </c>
      <c r="E36" s="4">
        <f t="shared" ref="E36:E39" si="38">E35</f>
        <v>0</v>
      </c>
      <c r="F36" s="4">
        <f t="shared" ref="F36:F39" si="39">F35</f>
        <v>0</v>
      </c>
      <c r="G36" s="4">
        <f t="shared" ref="G36:G39" si="40">G35</f>
        <v>0</v>
      </c>
      <c r="H36" s="4">
        <f>H35+B36</f>
        <v>1603763.1601550339</v>
      </c>
      <c r="I36" s="4">
        <f>B36*J34</f>
        <v>0</v>
      </c>
      <c r="J36" s="5"/>
      <c r="K36" s="4">
        <f>B36*L34</f>
        <v>19653.48484420776</v>
      </c>
      <c r="M36" s="4">
        <f>B36*N34</f>
        <v>112152.09024163375</v>
      </c>
      <c r="O36" s="4">
        <f>B36*P34</f>
        <v>26196.434914158483</v>
      </c>
      <c r="V36" s="4"/>
      <c r="W36" s="5"/>
    </row>
    <row r="37" spans="1:24" x14ac:dyDescent="0.25">
      <c r="A37" s="6">
        <v>41369</v>
      </c>
      <c r="B37" s="4">
        <f>-717.89-281.35-1281.01-317.75</f>
        <v>-2598</v>
      </c>
      <c r="C37" t="s">
        <v>20</v>
      </c>
      <c r="D37" s="4">
        <f t="shared" si="37"/>
        <v>0</v>
      </c>
      <c r="E37" s="4">
        <f t="shared" si="38"/>
        <v>0</v>
      </c>
      <c r="F37" s="4">
        <f t="shared" si="39"/>
        <v>0</v>
      </c>
      <c r="G37" s="4">
        <f t="shared" si="40"/>
        <v>0</v>
      </c>
      <c r="H37" s="4">
        <f>H36+B37</f>
        <v>1601165.1601550339</v>
      </c>
      <c r="I37" s="4">
        <f>B37*J34</f>
        <v>0</v>
      </c>
      <c r="J37" s="5"/>
      <c r="K37" s="4">
        <f>B37*L34</f>
        <v>-323.15888655626446</v>
      </c>
      <c r="M37" s="4">
        <f>B37*N34</f>
        <v>-1844.0976190604442</v>
      </c>
      <c r="O37" s="4">
        <f>B37*P34</f>
        <v>-430.74349438329136</v>
      </c>
      <c r="V37" s="4"/>
      <c r="W37" s="5"/>
    </row>
    <row r="38" spans="1:24" x14ac:dyDescent="0.25">
      <c r="A38" s="6">
        <v>41369</v>
      </c>
      <c r="B38" s="4">
        <v>-14962</v>
      </c>
      <c r="C38" t="s">
        <v>27</v>
      </c>
      <c r="D38" s="4">
        <f t="shared" si="37"/>
        <v>0</v>
      </c>
      <c r="E38" s="4">
        <f t="shared" si="38"/>
        <v>0</v>
      </c>
      <c r="F38" s="4">
        <f t="shared" si="39"/>
        <v>0</v>
      </c>
      <c r="G38" s="4">
        <f t="shared" si="40"/>
        <v>0</v>
      </c>
      <c r="H38" s="4">
        <f>H37+B38</f>
        <v>1586203.1601550339</v>
      </c>
      <c r="I38" s="4">
        <v>0</v>
      </c>
      <c r="J38" s="5"/>
      <c r="K38" s="4">
        <v>-14962</v>
      </c>
      <c r="M38" s="4">
        <v>0</v>
      </c>
      <c r="O38" s="4">
        <v>0</v>
      </c>
    </row>
    <row r="39" spans="1:24" x14ac:dyDescent="0.25">
      <c r="A39" s="6">
        <v>41369</v>
      </c>
      <c r="B39" s="4">
        <v>0</v>
      </c>
      <c r="C39" t="s">
        <v>26</v>
      </c>
      <c r="D39" s="4">
        <f t="shared" si="37"/>
        <v>0</v>
      </c>
      <c r="E39" s="4">
        <f t="shared" si="38"/>
        <v>0</v>
      </c>
      <c r="F39" s="4">
        <f t="shared" si="39"/>
        <v>0</v>
      </c>
      <c r="G39" s="4">
        <f t="shared" si="40"/>
        <v>0</v>
      </c>
      <c r="H39" s="4">
        <f>I39+K39+M39+O39+Q39+S39</f>
        <v>1571203.1601550339</v>
      </c>
      <c r="I39" s="4">
        <f>SUM(I34:I38)</f>
        <v>0</v>
      </c>
      <c r="J39" s="5">
        <f>I39/H39</f>
        <v>0</v>
      </c>
      <c r="K39" s="4">
        <f>SUM(K34:K38)</f>
        <v>171764.27470852857</v>
      </c>
      <c r="L39" s="10">
        <f>K39/H39</f>
        <v>0.10932021972994264</v>
      </c>
      <c r="M39" s="4">
        <f>SUM(M34:M38)</f>
        <v>1150548.5364350996</v>
      </c>
      <c r="N39" s="10">
        <f>M39/H39</f>
        <v>0.73227229018656792</v>
      </c>
      <c r="O39" s="4">
        <f>SUM(O34:O38)</f>
        <v>248890.34901140589</v>
      </c>
      <c r="P39" s="10">
        <f>O39/H39</f>
        <v>0.1584074900834895</v>
      </c>
      <c r="V39" s="4"/>
      <c r="W39" s="5"/>
    </row>
    <row r="40" spans="1:24" x14ac:dyDescent="0.25">
      <c r="A40" s="6">
        <v>41734</v>
      </c>
      <c r="B40" s="4">
        <v>0</v>
      </c>
      <c r="C40" t="s">
        <v>21</v>
      </c>
      <c r="D40" s="4">
        <f>D39</f>
        <v>0</v>
      </c>
      <c r="E40" s="4">
        <f>E39</f>
        <v>0</v>
      </c>
      <c r="F40" s="4">
        <f>F39</f>
        <v>0</v>
      </c>
      <c r="G40" s="4">
        <f>G39</f>
        <v>0</v>
      </c>
      <c r="H40" s="4">
        <f>H39+B40</f>
        <v>1571203.1601550339</v>
      </c>
      <c r="I40" s="4">
        <v>0</v>
      </c>
      <c r="J40" s="5"/>
      <c r="K40" s="4">
        <v>0</v>
      </c>
      <c r="M40" s="4">
        <v>0</v>
      </c>
      <c r="O40" s="4">
        <v>0</v>
      </c>
    </row>
    <row r="41" spans="1:24" x14ac:dyDescent="0.25">
      <c r="A41" s="6">
        <v>41734</v>
      </c>
      <c r="B41" s="4">
        <f>50426.86+14972.47+74198.15+18404.52</f>
        <v>158001.99999999997</v>
      </c>
      <c r="C41" t="s">
        <v>19</v>
      </c>
      <c r="D41" s="4">
        <f t="shared" ref="D41:D44" si="41">D40</f>
        <v>0</v>
      </c>
      <c r="E41" s="4">
        <f t="shared" ref="E41:E44" si="42">E40</f>
        <v>0</v>
      </c>
      <c r="F41" s="4">
        <f t="shared" ref="F41:F44" si="43">F40</f>
        <v>0</v>
      </c>
      <c r="G41" s="4">
        <f t="shared" ref="G41:G44" si="44">G40</f>
        <v>0</v>
      </c>
      <c r="H41" s="4">
        <f>H40+B41</f>
        <v>1729205.1601550339</v>
      </c>
      <c r="I41" s="4">
        <f>B41*J39</f>
        <v>0</v>
      </c>
      <c r="J41" s="5"/>
      <c r="K41" s="4">
        <f>B41*L39</f>
        <v>17272.813357770396</v>
      </c>
      <c r="M41" s="4">
        <f>B41*N39</f>
        <v>115700.48639405808</v>
      </c>
      <c r="O41" s="4">
        <f>B41*P39</f>
        <v>25028.700248171503</v>
      </c>
    </row>
    <row r="42" spans="1:24" x14ac:dyDescent="0.25">
      <c r="A42" s="6">
        <v>41734</v>
      </c>
      <c r="B42" s="4">
        <f>-196.39-791.75-159.77-538.09</f>
        <v>-1686</v>
      </c>
      <c r="C42" t="s">
        <v>20</v>
      </c>
      <c r="D42" s="4">
        <f t="shared" si="41"/>
        <v>0</v>
      </c>
      <c r="E42" s="4">
        <f t="shared" si="42"/>
        <v>0</v>
      </c>
      <c r="F42" s="4">
        <f t="shared" si="43"/>
        <v>0</v>
      </c>
      <c r="G42" s="4">
        <f t="shared" si="44"/>
        <v>0</v>
      </c>
      <c r="H42" s="4">
        <f>H41+B42</f>
        <v>1727519.1601550339</v>
      </c>
      <c r="I42" s="4">
        <f>B42*J39</f>
        <v>0</v>
      </c>
      <c r="J42" s="5"/>
      <c r="K42" s="4">
        <f>B42*L39</f>
        <v>-184.31389046468331</v>
      </c>
      <c r="M42" s="4">
        <f>B42*N39</f>
        <v>-1234.6110812545535</v>
      </c>
      <c r="O42" s="4">
        <f>B42*P39</f>
        <v>-267.07502828076332</v>
      </c>
    </row>
    <row r="43" spans="1:24" x14ac:dyDescent="0.25">
      <c r="A43" s="6">
        <v>41734</v>
      </c>
      <c r="B43" s="4">
        <v>-14962</v>
      </c>
      <c r="C43" t="s">
        <v>27</v>
      </c>
      <c r="D43" s="4">
        <f t="shared" si="41"/>
        <v>0</v>
      </c>
      <c r="E43" s="4">
        <f t="shared" si="42"/>
        <v>0</v>
      </c>
      <c r="F43" s="4">
        <f t="shared" si="43"/>
        <v>0</v>
      </c>
      <c r="G43" s="4">
        <f t="shared" si="44"/>
        <v>0</v>
      </c>
      <c r="H43" s="4">
        <f>H42+B43</f>
        <v>1712557.1601550339</v>
      </c>
      <c r="I43" s="4">
        <v>0</v>
      </c>
      <c r="J43" s="5"/>
      <c r="K43" s="4">
        <v>-14962</v>
      </c>
      <c r="M43" s="4">
        <v>0</v>
      </c>
      <c r="O43" s="4">
        <v>0</v>
      </c>
    </row>
    <row r="44" spans="1:24" x14ac:dyDescent="0.25">
      <c r="A44" s="6">
        <v>41734</v>
      </c>
      <c r="B44" s="4">
        <v>0</v>
      </c>
      <c r="C44" t="s">
        <v>26</v>
      </c>
      <c r="D44" s="4">
        <f t="shared" si="41"/>
        <v>0</v>
      </c>
      <c r="E44" s="4">
        <f t="shared" si="42"/>
        <v>0</v>
      </c>
      <c r="F44" s="4">
        <f t="shared" si="43"/>
        <v>0</v>
      </c>
      <c r="G44" s="4">
        <f t="shared" si="44"/>
        <v>0</v>
      </c>
      <c r="H44" s="4">
        <f>I44+K44+M44+O44+Q44+S44</f>
        <v>1712557.1601550337</v>
      </c>
      <c r="I44" s="4">
        <f>SUM(I39:I43)</f>
        <v>0</v>
      </c>
      <c r="J44" s="5">
        <f>I44/H44</f>
        <v>0</v>
      </c>
      <c r="K44" s="4">
        <f>SUM(K39:K43)</f>
        <v>173890.77417583426</v>
      </c>
      <c r="L44" s="10">
        <f>K44/H44</f>
        <v>0.10153866873564228</v>
      </c>
      <c r="M44" s="4">
        <f>SUM(M39:M43)</f>
        <v>1265014.4117479029</v>
      </c>
      <c r="N44" s="10">
        <f>M44/H44</f>
        <v>0.73866989154007812</v>
      </c>
      <c r="O44" s="4">
        <f>SUM(O39:O43)</f>
        <v>273651.97423129663</v>
      </c>
      <c r="P44" s="10">
        <f>O44/H44</f>
        <v>0.15979143972427967</v>
      </c>
      <c r="V44" s="4"/>
      <c r="W44" s="5"/>
    </row>
    <row r="45" spans="1:24" x14ac:dyDescent="0.25">
      <c r="A45" s="6">
        <v>42099</v>
      </c>
      <c r="B45" s="4">
        <v>0</v>
      </c>
      <c r="C45" t="s">
        <v>21</v>
      </c>
      <c r="D45" s="4">
        <f>D44</f>
        <v>0</v>
      </c>
      <c r="E45" s="4">
        <f>E44</f>
        <v>0</v>
      </c>
      <c r="F45" s="4">
        <f>F44</f>
        <v>0</v>
      </c>
      <c r="G45" s="4">
        <f>G44</f>
        <v>0</v>
      </c>
      <c r="H45" s="4">
        <f>H44+B45</f>
        <v>1712557.1601550337</v>
      </c>
      <c r="I45" s="4">
        <v>0</v>
      </c>
      <c r="J45" s="5"/>
      <c r="K45" s="4">
        <v>0</v>
      </c>
      <c r="M45" s="4">
        <v>0</v>
      </c>
      <c r="O45" s="4">
        <v>0</v>
      </c>
    </row>
    <row r="46" spans="1:24" x14ac:dyDescent="0.25">
      <c r="A46" s="6">
        <v>42099</v>
      </c>
      <c r="B46" s="4">
        <v>158002</v>
      </c>
      <c r="C46" t="s">
        <v>19</v>
      </c>
      <c r="D46" s="4">
        <f t="shared" ref="D46:D49" si="45">D45</f>
        <v>0</v>
      </c>
      <c r="E46" s="4">
        <f t="shared" ref="E46:E49" si="46">E45</f>
        <v>0</v>
      </c>
      <c r="F46" s="4">
        <f t="shared" ref="F46:F49" si="47">F45</f>
        <v>0</v>
      </c>
      <c r="G46" s="4">
        <f t="shared" ref="G46:G49" si="48">G45</f>
        <v>0</v>
      </c>
      <c r="H46" s="4">
        <f>H45+B46</f>
        <v>1870559.1601550337</v>
      </c>
      <c r="I46" s="4">
        <f>B46*J44</f>
        <v>0</v>
      </c>
      <c r="J46" s="5"/>
      <c r="K46" s="4">
        <f>B46*L44</f>
        <v>16043.312737568951</v>
      </c>
      <c r="M46" s="4">
        <f>B46*N44</f>
        <v>116711.32020311542</v>
      </c>
      <c r="O46" s="4">
        <f>B46*P44</f>
        <v>25247.367059315635</v>
      </c>
    </row>
    <row r="47" spans="1:24" x14ac:dyDescent="0.25">
      <c r="A47" s="6">
        <v>42099</v>
      </c>
      <c r="B47" s="4">
        <f>-593.41-161.87-873.14-216.58</f>
        <v>-1845</v>
      </c>
      <c r="C47" t="s">
        <v>20</v>
      </c>
      <c r="D47" s="4">
        <f t="shared" si="45"/>
        <v>0</v>
      </c>
      <c r="E47" s="4">
        <f t="shared" si="46"/>
        <v>0</v>
      </c>
      <c r="F47" s="4">
        <f t="shared" si="47"/>
        <v>0</v>
      </c>
      <c r="G47" s="4">
        <f t="shared" si="48"/>
        <v>0</v>
      </c>
      <c r="H47" s="4">
        <f>H46+B47</f>
        <v>1868714.1601550337</v>
      </c>
      <c r="I47" s="4">
        <f>B47*J44</f>
        <v>0</v>
      </c>
      <c r="J47" s="5"/>
      <c r="K47" s="4">
        <f>B47*L44</f>
        <v>-187.33884381726</v>
      </c>
      <c r="M47" s="4">
        <f>B47*N44</f>
        <v>-1362.8459498914442</v>
      </c>
      <c r="O47" s="4">
        <f>B47*P44</f>
        <v>-294.81520629129602</v>
      </c>
    </row>
    <row r="48" spans="1:24" x14ac:dyDescent="0.25">
      <c r="A48" s="6">
        <v>42099</v>
      </c>
      <c r="B48" s="4">
        <v>-14962</v>
      </c>
      <c r="C48" t="s">
        <v>27</v>
      </c>
      <c r="D48" s="4">
        <f t="shared" si="45"/>
        <v>0</v>
      </c>
      <c r="E48" s="4">
        <f t="shared" si="46"/>
        <v>0</v>
      </c>
      <c r="F48" s="4">
        <f t="shared" si="47"/>
        <v>0</v>
      </c>
      <c r="G48" s="4">
        <f t="shared" si="48"/>
        <v>0</v>
      </c>
      <c r="H48" s="4">
        <f>H47+B48</f>
        <v>1853752.1601550337</v>
      </c>
      <c r="I48" s="4">
        <v>0</v>
      </c>
      <c r="J48" s="5"/>
      <c r="K48" s="4">
        <v>-14962</v>
      </c>
      <c r="M48" s="4">
        <v>0</v>
      </c>
      <c r="O48" s="4">
        <v>0</v>
      </c>
    </row>
    <row r="49" spans="1:23" x14ac:dyDescent="0.25">
      <c r="A49" s="6">
        <v>42099</v>
      </c>
      <c r="B49" s="4">
        <v>0</v>
      </c>
      <c r="C49" t="s">
        <v>26</v>
      </c>
      <c r="D49" s="4">
        <f t="shared" si="45"/>
        <v>0</v>
      </c>
      <c r="E49" s="4">
        <f t="shared" si="46"/>
        <v>0</v>
      </c>
      <c r="F49" s="4">
        <f t="shared" si="47"/>
        <v>0</v>
      </c>
      <c r="G49" s="4">
        <f t="shared" si="48"/>
        <v>0</v>
      </c>
      <c r="H49" s="4">
        <f>I49+K49+M49+O49+Q49+S49</f>
        <v>1853752.1601550337</v>
      </c>
      <c r="I49" s="4">
        <f>SUM(I44:I48)</f>
        <v>0</v>
      </c>
      <c r="J49" s="5">
        <f>I49/H49</f>
        <v>0</v>
      </c>
      <c r="K49" s="4">
        <f>SUM(K44:K48)</f>
        <v>174784.74806958594</v>
      </c>
      <c r="L49" s="10">
        <f>K49/H49</f>
        <v>9.4287009788281667E-2</v>
      </c>
      <c r="M49" s="4">
        <f>SUM(M44:M48)</f>
        <v>1380362.8860011268</v>
      </c>
      <c r="N49" s="10">
        <f>M49/H49</f>
        <v>0.74463184220143208</v>
      </c>
      <c r="O49" s="4">
        <f>SUM(O44:O48)</f>
        <v>298604.52608432097</v>
      </c>
      <c r="P49" s="10">
        <f>O49/H49</f>
        <v>0.16108114801028631</v>
      </c>
      <c r="V49" s="4"/>
      <c r="W49" s="5"/>
    </row>
    <row r="50" spans="1:23" x14ac:dyDescent="0.25">
      <c r="A50" s="6">
        <v>42465</v>
      </c>
      <c r="B50" s="4">
        <v>0</v>
      </c>
      <c r="C50" t="s">
        <v>21</v>
      </c>
      <c r="D50" s="4">
        <f>D49</f>
        <v>0</v>
      </c>
      <c r="E50" s="4">
        <f>E49</f>
        <v>0</v>
      </c>
      <c r="F50" s="4">
        <f>F49</f>
        <v>0</v>
      </c>
      <c r="G50" s="4">
        <f>G49</f>
        <v>0</v>
      </c>
      <c r="H50" s="4">
        <f>H49+B50</f>
        <v>1853752.1601550337</v>
      </c>
      <c r="I50" s="4">
        <v>0</v>
      </c>
      <c r="J50" s="5"/>
      <c r="K50" s="4">
        <v>0</v>
      </c>
      <c r="M50" s="4">
        <v>0</v>
      </c>
      <c r="O50" s="4">
        <v>0</v>
      </c>
    </row>
    <row r="51" spans="1:23" x14ac:dyDescent="0.25">
      <c r="A51" s="6">
        <v>42465</v>
      </c>
      <c r="B51" s="4">
        <v>158002</v>
      </c>
      <c r="C51" t="s">
        <v>19</v>
      </c>
      <c r="D51" s="4">
        <f t="shared" ref="D51:D54" si="49">D50</f>
        <v>0</v>
      </c>
      <c r="E51" s="4">
        <f t="shared" ref="E51:E54" si="50">E50</f>
        <v>0</v>
      </c>
      <c r="F51" s="4">
        <f t="shared" ref="F51:F54" si="51">F50</f>
        <v>0</v>
      </c>
      <c r="G51" s="4">
        <f t="shared" ref="G51:G54" si="52">G50</f>
        <v>0</v>
      </c>
      <c r="H51" s="4">
        <f>H50+B51</f>
        <v>2011754.1601550337</v>
      </c>
      <c r="I51" s="4">
        <f>B51*J49</f>
        <v>0</v>
      </c>
      <c r="J51" s="5"/>
      <c r="K51" s="4">
        <f>B51*L49</f>
        <v>14897.53612056808</v>
      </c>
      <c r="M51" s="4">
        <f>B51*N49</f>
        <v>117653.32033151067</v>
      </c>
      <c r="O51" s="4">
        <f>B51*P49</f>
        <v>25451.143547921256</v>
      </c>
    </row>
    <row r="52" spans="1:23" x14ac:dyDescent="0.25">
      <c r="A52" s="6">
        <v>42465</v>
      </c>
      <c r="B52" s="4">
        <f>-609.36-152.62-896.62-222.4</f>
        <v>-1881</v>
      </c>
      <c r="C52" t="s">
        <v>20</v>
      </c>
      <c r="D52" s="4">
        <f t="shared" si="49"/>
        <v>0</v>
      </c>
      <c r="E52" s="4">
        <f t="shared" si="50"/>
        <v>0</v>
      </c>
      <c r="F52" s="4">
        <f t="shared" si="51"/>
        <v>0</v>
      </c>
      <c r="G52" s="4">
        <f t="shared" si="52"/>
        <v>0</v>
      </c>
      <c r="H52" s="4">
        <f>H51+B52</f>
        <v>2009873.1601550337</v>
      </c>
      <c r="I52" s="4">
        <f>B52*J49</f>
        <v>0</v>
      </c>
      <c r="J52" s="5"/>
      <c r="K52" s="4">
        <f>B52*L49</f>
        <v>-177.35386541175782</v>
      </c>
      <c r="M52" s="4">
        <f>B52*N49</f>
        <v>-1400.6524951808938</v>
      </c>
      <c r="O52" s="4">
        <f>B52*P49</f>
        <v>-302.99363940734855</v>
      </c>
    </row>
    <row r="53" spans="1:23" x14ac:dyDescent="0.25">
      <c r="A53" s="6">
        <v>42465</v>
      </c>
      <c r="B53" s="4">
        <v>-14962</v>
      </c>
      <c r="C53" t="s">
        <v>27</v>
      </c>
      <c r="D53" s="4">
        <f t="shared" si="49"/>
        <v>0</v>
      </c>
      <c r="E53" s="4">
        <f t="shared" si="50"/>
        <v>0</v>
      </c>
      <c r="F53" s="4">
        <f t="shared" si="51"/>
        <v>0</v>
      </c>
      <c r="G53" s="4">
        <f t="shared" si="52"/>
        <v>0</v>
      </c>
      <c r="H53" s="4">
        <f>H52+B53</f>
        <v>1994911.1601550337</v>
      </c>
      <c r="I53" s="4">
        <v>0</v>
      </c>
      <c r="J53" s="5"/>
      <c r="K53" s="4">
        <v>-14962</v>
      </c>
      <c r="M53" s="4">
        <v>0</v>
      </c>
      <c r="O53" s="4">
        <v>0</v>
      </c>
    </row>
    <row r="54" spans="1:23" x14ac:dyDescent="0.25">
      <c r="A54" s="6">
        <v>42465</v>
      </c>
      <c r="B54" s="4">
        <v>0</v>
      </c>
      <c r="C54" t="s">
        <v>26</v>
      </c>
      <c r="D54" s="4">
        <f t="shared" si="49"/>
        <v>0</v>
      </c>
      <c r="E54" s="4">
        <f t="shared" si="50"/>
        <v>0</v>
      </c>
      <c r="F54" s="4">
        <f t="shared" si="51"/>
        <v>0</v>
      </c>
      <c r="G54" s="4">
        <f t="shared" si="52"/>
        <v>0</v>
      </c>
      <c r="H54" s="4">
        <f>I54+K54+M54+O54+Q54+S54</f>
        <v>1994911.1601550337</v>
      </c>
      <c r="I54" s="4">
        <f>SUM(I49:I53)</f>
        <v>0</v>
      </c>
      <c r="J54" s="5">
        <f>I54/H54</f>
        <v>0</v>
      </c>
      <c r="K54" s="4">
        <f>SUM(K49:K53)</f>
        <v>174542.93032474228</v>
      </c>
      <c r="L54" s="10">
        <f>K54/H54</f>
        <v>8.7494086860077397E-2</v>
      </c>
      <c r="M54" s="4">
        <f>SUM(M49:M53)</f>
        <v>1496615.5538374565</v>
      </c>
      <c r="N54" s="10">
        <f>M54/H54</f>
        <v>0.75021664309158897</v>
      </c>
      <c r="O54" s="4">
        <f>SUM(O49:O53)</f>
        <v>323752.67599283491</v>
      </c>
      <c r="P54" s="10">
        <f>O54/H54</f>
        <v>0.16228927004833368</v>
      </c>
      <c r="V54" s="4">
        <f>O54+M54+K54</f>
        <v>1994911.1601550337</v>
      </c>
      <c r="W54" s="5"/>
    </row>
    <row r="55" spans="1:23" x14ac:dyDescent="0.25">
      <c r="A55" s="6">
        <v>42465</v>
      </c>
      <c r="B55" s="4">
        <v>0</v>
      </c>
      <c r="C55" t="s">
        <v>30</v>
      </c>
      <c r="D55" s="4">
        <v>298031</v>
      </c>
      <c r="E55" s="4">
        <v>258927</v>
      </c>
      <c r="F55" s="4">
        <v>1712845</v>
      </c>
      <c r="G55" s="4">
        <v>-59890</v>
      </c>
      <c r="H55" s="4">
        <f>D55+E55+F55+G55</f>
        <v>2209913</v>
      </c>
      <c r="I55" s="4">
        <v>0</v>
      </c>
      <c r="J55" s="5">
        <f>I55/H55</f>
        <v>0</v>
      </c>
      <c r="K55" s="4">
        <f>L55*H55</f>
        <v>193354.31997521422</v>
      </c>
      <c r="L55" s="5">
        <f>L54</f>
        <v>8.7494086860077397E-2</v>
      </c>
      <c r="M55" s="4">
        <f>N55*H55</f>
        <v>1657913.5123844626</v>
      </c>
      <c r="N55" s="5">
        <f>N54</f>
        <v>0.75021664309158897</v>
      </c>
      <c r="O55" s="4">
        <f>H55*P55</f>
        <v>358645.16764032323</v>
      </c>
      <c r="P55" s="5">
        <f>P54</f>
        <v>0.16228927004833368</v>
      </c>
      <c r="V55" s="4"/>
      <c r="W55" s="5"/>
    </row>
    <row r="56" spans="1:23" x14ac:dyDescent="0.25">
      <c r="A56" s="6">
        <v>42830</v>
      </c>
      <c r="B56" s="4">
        <v>158002</v>
      </c>
      <c r="C56" t="s">
        <v>19</v>
      </c>
      <c r="D56" s="4">
        <f>D55+B56</f>
        <v>456033</v>
      </c>
      <c r="E56" s="4">
        <f>E55</f>
        <v>258927</v>
      </c>
      <c r="F56" s="4">
        <f>F55</f>
        <v>1712845</v>
      </c>
      <c r="G56" s="4">
        <f>G55</f>
        <v>-59890</v>
      </c>
      <c r="H56" s="4">
        <f>D56+E56+F56+G56</f>
        <v>2367915</v>
      </c>
      <c r="I56" s="4">
        <f>B56*J54</f>
        <v>0</v>
      </c>
      <c r="J56" s="5"/>
      <c r="K56" s="4">
        <f>B56*L55</f>
        <v>13824.240712065948</v>
      </c>
      <c r="M56" s="4">
        <f>B56*N55</f>
        <v>118535.73004175724</v>
      </c>
      <c r="O56" s="4">
        <f>B56*P55</f>
        <v>25642.029246176819</v>
      </c>
    </row>
    <row r="57" spans="1:23" x14ac:dyDescent="0.25">
      <c r="A57" s="6">
        <v>42830</v>
      </c>
      <c r="B57" s="4">
        <v>-3827</v>
      </c>
      <c r="C57" t="s">
        <v>20</v>
      </c>
      <c r="D57" s="4">
        <f>D56+B57</f>
        <v>452206</v>
      </c>
      <c r="E57" s="4">
        <f t="shared" ref="E57:G57" si="53">E56</f>
        <v>258927</v>
      </c>
      <c r="F57" s="4">
        <f t="shared" si="53"/>
        <v>1712845</v>
      </c>
      <c r="G57" s="4">
        <f t="shared" si="53"/>
        <v>-59890</v>
      </c>
      <c r="H57" s="4">
        <f>D57+E57+F57+G57</f>
        <v>2364088</v>
      </c>
      <c r="I57" s="4">
        <f>B57*J54</f>
        <v>0</v>
      </c>
      <c r="J57" s="5"/>
      <c r="K57" s="4">
        <f>B57*L55</f>
        <v>-334.83987041351622</v>
      </c>
      <c r="M57" s="4">
        <f>B57*N55</f>
        <v>-2871.0790931115112</v>
      </c>
      <c r="O57" s="4">
        <f>B57*P55</f>
        <v>-621.08103647497296</v>
      </c>
    </row>
    <row r="58" spans="1:23" x14ac:dyDescent="0.25">
      <c r="A58" s="6">
        <v>42830</v>
      </c>
      <c r="B58" s="4">
        <v>-14962</v>
      </c>
      <c r="C58" t="s">
        <v>17</v>
      </c>
      <c r="D58" s="4">
        <f>D57+B58</f>
        <v>437244</v>
      </c>
      <c r="E58" s="4">
        <f>E55</f>
        <v>258927</v>
      </c>
      <c r="F58" s="4">
        <f>F55</f>
        <v>1712845</v>
      </c>
      <c r="G58" s="4">
        <f>G55</f>
        <v>-59890</v>
      </c>
      <c r="H58" s="4">
        <f>D58+E58+F58+G58</f>
        <v>2349126</v>
      </c>
      <c r="I58" s="4">
        <v>0</v>
      </c>
      <c r="J58" s="5"/>
      <c r="K58" s="4">
        <v>-14962</v>
      </c>
      <c r="M58" s="4">
        <v>0</v>
      </c>
      <c r="O58" s="4">
        <v>0</v>
      </c>
    </row>
    <row r="59" spans="1:23" x14ac:dyDescent="0.25">
      <c r="A59" s="6">
        <v>42830</v>
      </c>
      <c r="B59" s="4">
        <v>0</v>
      </c>
      <c r="C59" t="s">
        <v>18</v>
      </c>
      <c r="D59" s="4">
        <v>593141</v>
      </c>
      <c r="E59" s="4">
        <v>99967</v>
      </c>
      <c r="F59" s="4">
        <v>1712845</v>
      </c>
      <c r="G59" s="4">
        <v>-56827</v>
      </c>
      <c r="H59" s="4">
        <f>D59+E59+F59+G59</f>
        <v>2349126</v>
      </c>
      <c r="I59" s="4">
        <f ca="1">SUM(I55:I60)</f>
        <v>0</v>
      </c>
      <c r="J59" s="5">
        <f ca="1">I59/H59</f>
        <v>0</v>
      </c>
      <c r="K59" s="4">
        <f>SUM(K55:K58)</f>
        <v>191881.72081686667</v>
      </c>
      <c r="L59" s="10">
        <f>K59/H59</f>
        <v>8.1682174909675623E-2</v>
      </c>
      <c r="M59" s="4">
        <f>SUM(M55:M58)</f>
        <v>1773578.1633331084</v>
      </c>
      <c r="N59" s="10">
        <f>M59/H59</f>
        <v>0.75499490590675356</v>
      </c>
      <c r="O59" s="4">
        <f>SUM(O55:O58)</f>
        <v>383666.11585002509</v>
      </c>
      <c r="P59" s="10">
        <f>O59/H59</f>
        <v>0.16332291918357086</v>
      </c>
      <c r="V59" s="4"/>
      <c r="W59" s="5"/>
    </row>
    <row r="60" spans="1:23" x14ac:dyDescent="0.25">
      <c r="A60" s="6"/>
      <c r="J60" s="5"/>
      <c r="K60" s="4"/>
      <c r="M60" s="4"/>
      <c r="O60" s="4"/>
      <c r="V60" s="4"/>
      <c r="W60" s="5"/>
    </row>
    <row r="61" spans="1:23" x14ac:dyDescent="0.25">
      <c r="A61" s="6">
        <v>43195</v>
      </c>
      <c r="B61" s="4">
        <v>158002</v>
      </c>
      <c r="C61" t="s">
        <v>19</v>
      </c>
      <c r="D61" s="4">
        <f>D59+B61</f>
        <v>751143</v>
      </c>
      <c r="E61" s="4">
        <f>E59</f>
        <v>99967</v>
      </c>
      <c r="F61" s="4">
        <f>F59</f>
        <v>1712845</v>
      </c>
      <c r="G61" s="4">
        <f>G59</f>
        <v>-56827</v>
      </c>
      <c r="H61" s="4">
        <f>D61+E61+F61+G61</f>
        <v>2507128</v>
      </c>
      <c r="I61" s="4">
        <f ca="1">B61*J59</f>
        <v>0</v>
      </c>
      <c r="J61" s="5"/>
      <c r="K61" s="4">
        <f>B61*L59</f>
        <v>12905.947000078568</v>
      </c>
      <c r="M61" s="4">
        <f>B61*N59</f>
        <v>119290.70512307888</v>
      </c>
      <c r="O61" s="4">
        <f>B61*P59</f>
        <v>25805.347876842563</v>
      </c>
    </row>
    <row r="62" spans="1:23" x14ac:dyDescent="0.25">
      <c r="A62" s="6">
        <v>43195</v>
      </c>
      <c r="B62" s="4">
        <v>-1374</v>
      </c>
      <c r="C62" t="s">
        <v>20</v>
      </c>
      <c r="D62" s="4">
        <f>D61+B62</f>
        <v>749769</v>
      </c>
      <c r="E62" s="4">
        <f t="shared" ref="E62:G62" si="54">E61</f>
        <v>99967</v>
      </c>
      <c r="F62" s="4">
        <f t="shared" si="54"/>
        <v>1712845</v>
      </c>
      <c r="G62" s="4">
        <f t="shared" si="54"/>
        <v>-56827</v>
      </c>
      <c r="H62" s="4">
        <f>D62+E62+F62+G62</f>
        <v>2505754</v>
      </c>
      <c r="I62" s="4">
        <f ca="1">B62*J59</f>
        <v>0</v>
      </c>
      <c r="J62" s="5"/>
      <c r="K62" s="4">
        <f>B62*L59</f>
        <v>-112.2313083258943</v>
      </c>
      <c r="M62" s="4">
        <f>B62*N59</f>
        <v>-1037.3630007158795</v>
      </c>
      <c r="O62" s="4">
        <f>B62*P59</f>
        <v>-224.40569095822636</v>
      </c>
    </row>
    <row r="63" spans="1:23" x14ac:dyDescent="0.25">
      <c r="A63" s="6">
        <v>43195</v>
      </c>
      <c r="B63" s="4">
        <v>-14962</v>
      </c>
      <c r="C63" t="s">
        <v>17</v>
      </c>
      <c r="D63" s="4">
        <f>D62+B63</f>
        <v>734807</v>
      </c>
      <c r="E63" s="4">
        <f>E59</f>
        <v>99967</v>
      </c>
      <c r="F63" s="4">
        <f>F59</f>
        <v>1712845</v>
      </c>
      <c r="G63" s="4">
        <f>G59</f>
        <v>-56827</v>
      </c>
      <c r="H63" s="4">
        <f>D63+E63+F63+G63</f>
        <v>2490792</v>
      </c>
      <c r="I63" s="4">
        <v>0</v>
      </c>
      <c r="J63" s="5"/>
      <c r="K63" s="4">
        <v>-14962</v>
      </c>
      <c r="M63" s="4">
        <v>0</v>
      </c>
      <c r="O63" s="4">
        <v>0</v>
      </c>
    </row>
    <row r="64" spans="1:23" x14ac:dyDescent="0.25">
      <c r="A64" s="6">
        <v>43195</v>
      </c>
      <c r="B64" s="4">
        <v>0</v>
      </c>
      <c r="C64" t="s">
        <v>18</v>
      </c>
      <c r="D64" s="4">
        <v>675914</v>
      </c>
      <c r="E64" s="4">
        <v>156668</v>
      </c>
      <c r="F64" s="4">
        <v>1712845</v>
      </c>
      <c r="G64" s="4">
        <v>-54635</v>
      </c>
      <c r="H64" s="4">
        <f>D64+E64+F64+G64</f>
        <v>2490792</v>
      </c>
      <c r="I64" s="4">
        <f ca="1">SUM(I59:I63)</f>
        <v>0</v>
      </c>
      <c r="J64" s="5">
        <f ca="1">I64/H64</f>
        <v>0</v>
      </c>
      <c r="K64" s="4">
        <f>SUM(K59:K63)</f>
        <v>189713.43650861934</v>
      </c>
      <c r="L64" s="10">
        <f>K64/H64</f>
        <v>7.6165908879030977E-2</v>
      </c>
      <c r="M64" s="4">
        <f>SUM(M59:M63)</f>
        <v>1891831.5054554713</v>
      </c>
      <c r="N64" s="10">
        <f>M64/H64</f>
        <v>0.75953010345924965</v>
      </c>
      <c r="O64" s="4">
        <f>SUM(O59:O63)</f>
        <v>409247.05803590943</v>
      </c>
      <c r="P64" s="10">
        <f>O64/H64</f>
        <v>0.16430398766171941</v>
      </c>
      <c r="V64" s="4">
        <f>O64+M64+K64</f>
        <v>2490792</v>
      </c>
      <c r="W64" s="5"/>
    </row>
    <row r="66" spans="1:23" x14ac:dyDescent="0.25">
      <c r="A66" s="6">
        <v>43560</v>
      </c>
      <c r="B66" s="4">
        <v>158002</v>
      </c>
      <c r="C66" t="s">
        <v>19</v>
      </c>
      <c r="D66" s="4">
        <f>D64+B66</f>
        <v>833916</v>
      </c>
      <c r="E66" s="4">
        <f>E64</f>
        <v>156668</v>
      </c>
      <c r="F66" s="4">
        <f>F64</f>
        <v>1712845</v>
      </c>
      <c r="G66" s="4">
        <f>G64</f>
        <v>-54635</v>
      </c>
      <c r="H66" s="4">
        <f>D66+E66+F66+G66</f>
        <v>2648794</v>
      </c>
      <c r="I66" s="4">
        <f ca="1">B66*J64</f>
        <v>0</v>
      </c>
      <c r="J66" s="5"/>
      <c r="K66" s="4">
        <f>B66*L64</f>
        <v>12034.365934704652</v>
      </c>
      <c r="M66" s="4">
        <f>B66*N64</f>
        <v>120007.27540676836</v>
      </c>
      <c r="O66" s="4">
        <f>B66*P64</f>
        <v>25960.358658526991</v>
      </c>
    </row>
    <row r="67" spans="1:23" x14ac:dyDescent="0.25">
      <c r="A67" s="6">
        <v>43560</v>
      </c>
      <c r="B67" s="4">
        <v>-1154</v>
      </c>
      <c r="C67" t="s">
        <v>20</v>
      </c>
      <c r="D67" s="4">
        <f>D66+B67</f>
        <v>832762</v>
      </c>
      <c r="E67" s="4">
        <f t="shared" ref="E67:G67" si="55">E66</f>
        <v>156668</v>
      </c>
      <c r="F67" s="4">
        <f t="shared" si="55"/>
        <v>1712845</v>
      </c>
      <c r="G67" s="4">
        <f t="shared" si="55"/>
        <v>-54635</v>
      </c>
      <c r="H67" s="4">
        <f>D67+E67+F67+G67</f>
        <v>2647640</v>
      </c>
      <c r="I67" s="4">
        <f ca="1">B67*J64</f>
        <v>0</v>
      </c>
      <c r="J67" s="5"/>
      <c r="K67" s="4">
        <f>B67*L64</f>
        <v>-87.895458846401752</v>
      </c>
      <c r="M67" s="4">
        <f>B67*N64</f>
        <v>-876.49773939197405</v>
      </c>
      <c r="O67" s="4">
        <f>B67*P64</f>
        <v>-189.60680176162421</v>
      </c>
    </row>
    <row r="68" spans="1:23" x14ac:dyDescent="0.25">
      <c r="A68" s="6">
        <v>43560</v>
      </c>
      <c r="B68" s="4">
        <v>-14962</v>
      </c>
      <c r="C68" t="s">
        <v>17</v>
      </c>
      <c r="D68" s="4">
        <f>D67+B68</f>
        <v>817800</v>
      </c>
      <c r="E68" s="4">
        <f>E64</f>
        <v>156668</v>
      </c>
      <c r="F68" s="4">
        <f>F64</f>
        <v>1712845</v>
      </c>
      <c r="G68" s="4">
        <f>G64</f>
        <v>-54635</v>
      </c>
      <c r="H68" s="4">
        <f>D68+E68+F68+G68</f>
        <v>2632678</v>
      </c>
      <c r="I68" s="4">
        <v>0</v>
      </c>
      <c r="J68" s="5"/>
      <c r="K68" s="4">
        <v>-14962</v>
      </c>
      <c r="M68" s="4">
        <v>0</v>
      </c>
      <c r="O68" s="4">
        <v>0</v>
      </c>
    </row>
    <row r="69" spans="1:23" x14ac:dyDescent="0.25">
      <c r="A69" s="6">
        <v>43560</v>
      </c>
      <c r="B69" s="4">
        <v>30000</v>
      </c>
      <c r="C69" s="7" t="s">
        <v>31</v>
      </c>
      <c r="D69" s="4">
        <f>D68+B69</f>
        <v>847800</v>
      </c>
      <c r="E69" s="4">
        <v>156668</v>
      </c>
      <c r="F69" s="4">
        <f>F67</f>
        <v>1712845</v>
      </c>
      <c r="G69" s="4">
        <v>-54635</v>
      </c>
      <c r="H69" s="4">
        <f>D69+E69+F69+G69</f>
        <v>2662678</v>
      </c>
      <c r="J69" s="5"/>
      <c r="K69" s="4">
        <v>0</v>
      </c>
      <c r="L69" s="5"/>
      <c r="M69" s="4">
        <v>0</v>
      </c>
      <c r="N69" s="5"/>
      <c r="O69" s="8">
        <v>30000</v>
      </c>
      <c r="P69" s="5"/>
    </row>
    <row r="70" spans="1:23" x14ac:dyDescent="0.25">
      <c r="A70" s="6">
        <v>43560</v>
      </c>
      <c r="B70" s="4">
        <v>0</v>
      </c>
      <c r="C70" t="s">
        <v>18</v>
      </c>
      <c r="D70" s="4">
        <v>753352</v>
      </c>
      <c r="E70" s="4">
        <v>251470</v>
      </c>
      <c r="F70" s="4">
        <v>1712845</v>
      </c>
      <c r="G70" s="4">
        <v>-54989</v>
      </c>
      <c r="H70" s="4">
        <f>D70+E70+F70+G70</f>
        <v>2662678</v>
      </c>
      <c r="I70" s="4">
        <f ca="1">SUM(I64:I70)</f>
        <v>0</v>
      </c>
      <c r="J70" s="5">
        <f ca="1">I70/H70</f>
        <v>0</v>
      </c>
      <c r="K70" s="4">
        <f>SUM(K64:K69)</f>
        <v>186697.90698447759</v>
      </c>
      <c r="L70" s="10">
        <f>K70/H70</f>
        <v>7.0116592011680565E-2</v>
      </c>
      <c r="M70" s="4">
        <f>SUM(M64:M69)</f>
        <v>2010962.2831228478</v>
      </c>
      <c r="N70" s="10">
        <f>M70/H70</f>
        <v>0.75524050715965196</v>
      </c>
      <c r="O70" s="4">
        <f>SUM(O64:O69)</f>
        <v>465017.80989267479</v>
      </c>
      <c r="P70" s="10">
        <f>O70/H70</f>
        <v>0.17464290082866751</v>
      </c>
      <c r="V70" s="4">
        <f>O70+M70+K70</f>
        <v>2662678.0000000005</v>
      </c>
      <c r="W70" s="5"/>
    </row>
    <row r="72" spans="1:23" x14ac:dyDescent="0.25">
      <c r="A72" s="6">
        <v>43926</v>
      </c>
      <c r="B72" s="4">
        <v>158002</v>
      </c>
      <c r="C72" t="s">
        <v>19</v>
      </c>
      <c r="D72" s="4">
        <f>D69+B72</f>
        <v>1005802</v>
      </c>
      <c r="E72" s="4">
        <f>E69</f>
        <v>156668</v>
      </c>
      <c r="F72" s="4">
        <f>F69</f>
        <v>1712845</v>
      </c>
      <c r="G72" s="4">
        <f>G69</f>
        <v>-54635</v>
      </c>
      <c r="H72" s="4">
        <f>D72+E72+F72+G72</f>
        <v>2820680</v>
      </c>
      <c r="I72" s="4">
        <f ca="1">B72*J70</f>
        <v>0</v>
      </c>
      <c r="J72" s="5"/>
      <c r="K72" s="4">
        <f>B72*L70</f>
        <v>11078.561771029552</v>
      </c>
      <c r="M72" s="4">
        <f>B72*N70</f>
        <v>119329.51061223933</v>
      </c>
      <c r="O72" s="4">
        <f>B72*P70</f>
        <v>27593.927616731125</v>
      </c>
    </row>
    <row r="73" spans="1:23" x14ac:dyDescent="0.25">
      <c r="A73" s="6">
        <v>43926</v>
      </c>
      <c r="B73" s="4">
        <v>-1696</v>
      </c>
      <c r="C73" t="s">
        <v>20</v>
      </c>
      <c r="D73" s="4">
        <f>D72+B73</f>
        <v>1004106</v>
      </c>
      <c r="E73" s="4">
        <f>E72</f>
        <v>156668</v>
      </c>
      <c r="F73" s="4">
        <f>F72</f>
        <v>1712845</v>
      </c>
      <c r="G73" s="4">
        <f>G72</f>
        <v>-54635</v>
      </c>
      <c r="H73" s="4">
        <f>D73+E73+F73+G73</f>
        <v>2818984</v>
      </c>
      <c r="I73" s="4">
        <f ca="1">B73*J70</f>
        <v>0</v>
      </c>
      <c r="J73" s="5"/>
      <c r="K73" s="4">
        <f>B73*L70</f>
        <v>-118.91774005181024</v>
      </c>
      <c r="M73" s="4">
        <f>B73*N70</f>
        <v>-1280.8879001427697</v>
      </c>
      <c r="O73" s="4">
        <f>B73*P70</f>
        <v>-296.19435980542011</v>
      </c>
    </row>
    <row r="74" spans="1:23" x14ac:dyDescent="0.25">
      <c r="A74" s="6">
        <v>43926</v>
      </c>
      <c r="B74" s="4">
        <v>-14962</v>
      </c>
      <c r="C74" t="s">
        <v>17</v>
      </c>
      <c r="D74" s="4">
        <f>D73+B74</f>
        <v>989144</v>
      </c>
      <c r="E74" s="4">
        <f>E73</f>
        <v>156668</v>
      </c>
      <c r="F74" s="4">
        <f>F70</f>
        <v>1712845</v>
      </c>
      <c r="G74" s="4">
        <f>G73</f>
        <v>-54635</v>
      </c>
      <c r="H74" s="4">
        <f>D74+E74+F74+G74</f>
        <v>2804022</v>
      </c>
      <c r="I74" s="4">
        <v>0</v>
      </c>
      <c r="J74" s="5"/>
      <c r="K74" s="4">
        <v>-14962</v>
      </c>
      <c r="M74" s="4">
        <v>0</v>
      </c>
      <c r="O74" s="4">
        <v>0</v>
      </c>
    </row>
    <row r="75" spans="1:23" x14ac:dyDescent="0.25">
      <c r="A75" s="6">
        <v>43926</v>
      </c>
      <c r="B75" s="4">
        <v>0</v>
      </c>
      <c r="C75" t="s">
        <v>18</v>
      </c>
      <c r="D75" s="4">
        <v>904778</v>
      </c>
      <c r="E75" s="4">
        <v>242170</v>
      </c>
      <c r="F75" s="4">
        <v>1712845</v>
      </c>
      <c r="G75" s="4">
        <v>-55771</v>
      </c>
      <c r="H75" s="4">
        <f>D75+E75+F75+G75</f>
        <v>2804022</v>
      </c>
      <c r="I75" s="4">
        <f ca="1">SUM(I70:I74)</f>
        <v>0</v>
      </c>
      <c r="J75" s="5">
        <f ca="1">I75/H75</f>
        <v>0</v>
      </c>
      <c r="K75" s="4">
        <f>SUM(K70:K74)</f>
        <v>182695.55101545533</v>
      </c>
      <c r="L75" s="10">
        <f>K75/H75</f>
        <v>6.5154820830740742E-2</v>
      </c>
      <c r="M75" s="4">
        <f>SUM(M70:M74)</f>
        <v>2129010.905834944</v>
      </c>
      <c r="N75" s="10">
        <f>M75/H75</f>
        <v>0.75927040010204772</v>
      </c>
      <c r="O75" s="4">
        <f>SUM(O70:O74)</f>
        <v>492315.5431496005</v>
      </c>
      <c r="P75" s="10">
        <f>O75/H75</f>
        <v>0.1755747790672115</v>
      </c>
      <c r="V75" s="4"/>
      <c r="W75" s="5"/>
    </row>
    <row r="76" spans="1:23" x14ac:dyDescent="0.25">
      <c r="B76"/>
      <c r="D76"/>
      <c r="E76"/>
      <c r="F76"/>
      <c r="G76"/>
      <c r="H76"/>
      <c r="I76"/>
      <c r="L76"/>
      <c r="N76"/>
      <c r="P76"/>
      <c r="Q76"/>
      <c r="R76"/>
      <c r="S76"/>
      <c r="T76"/>
      <c r="U76"/>
    </row>
    <row r="77" spans="1:23" x14ac:dyDescent="0.25">
      <c r="A77" s="6">
        <v>44291</v>
      </c>
      <c r="B77" s="4">
        <v>158002</v>
      </c>
      <c r="C77" t="s">
        <v>19</v>
      </c>
      <c r="D77" s="4">
        <f>D75+B77</f>
        <v>1062780</v>
      </c>
      <c r="E77" s="4">
        <f>E75</f>
        <v>242170</v>
      </c>
      <c r="F77" s="4">
        <f>F75</f>
        <v>1712845</v>
      </c>
      <c r="G77" s="4">
        <f>G75</f>
        <v>-55771</v>
      </c>
      <c r="H77" s="4">
        <f>D77+E77+F77+G77</f>
        <v>2962024</v>
      </c>
      <c r="I77" s="4">
        <f ca="1">B77*J75</f>
        <v>0</v>
      </c>
      <c r="J77" s="5"/>
      <c r="K77" s="4">
        <f>B77*L75</f>
        <v>10294.5920008987</v>
      </c>
      <c r="M77" s="4">
        <f>B77*N75</f>
        <v>119966.24175692374</v>
      </c>
      <c r="O77" s="4">
        <f>B77*P75</f>
        <v>27741.166242177551</v>
      </c>
    </row>
    <row r="78" spans="1:23" x14ac:dyDescent="0.25">
      <c r="A78" s="6">
        <v>44291</v>
      </c>
      <c r="B78" s="4">
        <v>-1703</v>
      </c>
      <c r="C78" t="s">
        <v>20</v>
      </c>
      <c r="D78" s="4">
        <f>D77+B78</f>
        <v>1061077</v>
      </c>
      <c r="E78" s="4">
        <f t="shared" ref="E78:G78" si="56">E77</f>
        <v>242170</v>
      </c>
      <c r="F78" s="4">
        <f t="shared" si="56"/>
        <v>1712845</v>
      </c>
      <c r="G78" s="4">
        <f t="shared" si="56"/>
        <v>-55771</v>
      </c>
      <c r="H78" s="4">
        <f>D78+E78+F78+G78</f>
        <v>2960321</v>
      </c>
      <c r="I78" s="4">
        <f ca="1">B78*J75</f>
        <v>0</v>
      </c>
      <c r="J78" s="5"/>
      <c r="K78" s="4">
        <f>B78*L75</f>
        <v>-110.95865987475149</v>
      </c>
      <c r="M78" s="4">
        <f>B78*N75</f>
        <v>-1293.0374913737874</v>
      </c>
      <c r="O78" s="4">
        <f>B78*P75</f>
        <v>-299.00384875146119</v>
      </c>
    </row>
    <row r="79" spans="1:23" x14ac:dyDescent="0.25">
      <c r="A79" s="6">
        <v>44291</v>
      </c>
      <c r="B79" s="4">
        <v>-14962</v>
      </c>
      <c r="C79" t="s">
        <v>17</v>
      </c>
      <c r="D79" s="4">
        <f>D78+B79</f>
        <v>1046115</v>
      </c>
      <c r="E79" s="4">
        <f>E78</f>
        <v>242170</v>
      </c>
      <c r="F79" s="4">
        <f>F74</f>
        <v>1712845</v>
      </c>
      <c r="G79" s="4">
        <f>G78</f>
        <v>-55771</v>
      </c>
      <c r="H79" s="4">
        <f>D79+E79+F79+G79</f>
        <v>2945359</v>
      </c>
      <c r="I79" s="4">
        <v>0</v>
      </c>
      <c r="J79" s="5"/>
      <c r="K79" s="4">
        <v>-14962</v>
      </c>
      <c r="M79" s="4">
        <v>0</v>
      </c>
      <c r="O79" s="4">
        <v>0</v>
      </c>
    </row>
    <row r="80" spans="1:23" x14ac:dyDescent="0.25">
      <c r="A80" s="6">
        <v>44291</v>
      </c>
      <c r="B80" s="4">
        <v>0</v>
      </c>
      <c r="C80" t="s">
        <v>18</v>
      </c>
      <c r="D80" s="4">
        <v>858709</v>
      </c>
      <c r="E80" s="4">
        <v>431772</v>
      </c>
      <c r="F80" s="4">
        <v>1712845</v>
      </c>
      <c r="G80" s="4">
        <v>-57967</v>
      </c>
      <c r="H80" s="4">
        <f>D80+E80+F80+G80</f>
        <v>2945359</v>
      </c>
      <c r="I80" s="4">
        <f ca="1">SUM(I75:I79)</f>
        <v>0</v>
      </c>
      <c r="J80" s="5">
        <f ca="1">I80/H80</f>
        <v>0</v>
      </c>
      <c r="K80" s="4">
        <f>SUM(K75:K79)</f>
        <v>177917.18435647929</v>
      </c>
      <c r="L80" s="10">
        <f>K80/H80</f>
        <v>6.040594180759605E-2</v>
      </c>
      <c r="M80" s="4">
        <f>SUM(M75:M79)</f>
        <v>2247684.1101004942</v>
      </c>
      <c r="N80" s="10">
        <f>M80/H80</f>
        <v>0.76312738450575779</v>
      </c>
      <c r="O80" s="4">
        <f>SUM(O75:O79)</f>
        <v>519757.70554302656</v>
      </c>
      <c r="P80" s="10">
        <f>O80/H80</f>
        <v>0.1764666736866462</v>
      </c>
      <c r="V80" s="4">
        <f>O80+M80+K80</f>
        <v>2945359.0000000005</v>
      </c>
      <c r="W80" s="5"/>
    </row>
    <row r="83" spans="1:23" x14ac:dyDescent="0.25">
      <c r="A83" s="6">
        <v>44656</v>
      </c>
      <c r="B83" s="4">
        <v>158002</v>
      </c>
      <c r="C83" t="s">
        <v>19</v>
      </c>
      <c r="D83" s="4">
        <f>D80+B83</f>
        <v>1016711</v>
      </c>
      <c r="E83" s="4">
        <f>E80</f>
        <v>431772</v>
      </c>
      <c r="F83" s="4">
        <f>F80</f>
        <v>1712845</v>
      </c>
      <c r="G83" s="4">
        <f>G80</f>
        <v>-57967</v>
      </c>
      <c r="H83" s="4">
        <f t="shared" ref="H83:H86" si="57">D83+E83+F83+G83</f>
        <v>3103361</v>
      </c>
      <c r="I83" s="4">
        <f ca="1">B83*J80</f>
        <v>0</v>
      </c>
      <c r="J83" s="5"/>
      <c r="K83" s="4">
        <f>B83*L80</f>
        <v>9544.2596174837909</v>
      </c>
      <c r="M83" s="4">
        <f>B83*N80</f>
        <v>120575.65300667874</v>
      </c>
      <c r="O83" s="4">
        <f>B83*P80</f>
        <v>27882.087375837473</v>
      </c>
    </row>
    <row r="84" spans="1:23" x14ac:dyDescent="0.25">
      <c r="A84" s="6">
        <v>44656</v>
      </c>
      <c r="B84" s="4">
        <v>-1719</v>
      </c>
      <c r="C84" t="s">
        <v>20</v>
      </c>
      <c r="D84" s="4">
        <f>D83+B84</f>
        <v>1014992</v>
      </c>
      <c r="E84" s="4">
        <f t="shared" ref="E84:G84" si="58">E83</f>
        <v>431772</v>
      </c>
      <c r="F84" s="4">
        <f t="shared" si="58"/>
        <v>1712845</v>
      </c>
      <c r="G84" s="4">
        <f t="shared" si="58"/>
        <v>-57967</v>
      </c>
      <c r="H84" s="4">
        <f t="shared" si="57"/>
        <v>3101642</v>
      </c>
      <c r="I84" s="4">
        <f ca="1">B84*J80</f>
        <v>0</v>
      </c>
      <c r="J84" s="5"/>
      <c r="K84" s="4">
        <f>B84*L80</f>
        <v>-103.83781396725762</v>
      </c>
      <c r="M84" s="4">
        <f>B84*N80</f>
        <v>-1311.8159739653977</v>
      </c>
      <c r="O84" s="4">
        <f>B84*P80</f>
        <v>-303.34621206734482</v>
      </c>
    </row>
    <row r="85" spans="1:23" x14ac:dyDescent="0.25">
      <c r="A85" s="6">
        <v>44656</v>
      </c>
      <c r="B85" s="4">
        <v>-14962</v>
      </c>
      <c r="C85" t="s">
        <v>17</v>
      </c>
      <c r="D85" s="4">
        <f>D84+B85</f>
        <v>1000030</v>
      </c>
      <c r="E85" s="4">
        <f>E84</f>
        <v>431772</v>
      </c>
      <c r="F85" s="4">
        <f>F79</f>
        <v>1712845</v>
      </c>
      <c r="G85" s="4">
        <f>G84</f>
        <v>-57967</v>
      </c>
      <c r="H85" s="4">
        <f t="shared" si="57"/>
        <v>3086680</v>
      </c>
      <c r="I85" s="4">
        <v>0</v>
      </c>
      <c r="J85" s="5"/>
      <c r="K85" s="4">
        <v>-14962</v>
      </c>
      <c r="M85" s="4">
        <v>0</v>
      </c>
      <c r="O85" s="4">
        <v>0</v>
      </c>
    </row>
    <row r="86" spans="1:23" x14ac:dyDescent="0.25">
      <c r="A86" s="6">
        <v>44656</v>
      </c>
      <c r="B86" s="4">
        <v>0</v>
      </c>
      <c r="C86" t="s">
        <v>18</v>
      </c>
      <c r="D86" s="4">
        <v>1338241</v>
      </c>
      <c r="E86" s="4">
        <v>98178</v>
      </c>
      <c r="F86" s="4">
        <v>1712845</v>
      </c>
      <c r="G86" s="4">
        <v>-62584</v>
      </c>
      <c r="H86" s="4">
        <f t="shared" si="57"/>
        <v>3086680</v>
      </c>
      <c r="I86" s="4">
        <f ca="1">SUM(I80:I85)</f>
        <v>0</v>
      </c>
      <c r="J86" s="5">
        <f ca="1">I86/H86</f>
        <v>0</v>
      </c>
      <c r="K86" s="4">
        <f>SUM(K80:K85)</f>
        <v>172395.60615999583</v>
      </c>
      <c r="L86" s="10">
        <f>K86/H86</f>
        <v>5.5851467000141201E-2</v>
      </c>
      <c r="M86" s="4">
        <f>SUM(M80:M85)</f>
        <v>2366947.9471332077</v>
      </c>
      <c r="N86" s="10">
        <f>M86/H86</f>
        <v>0.76682647606269772</v>
      </c>
      <c r="O86" s="4">
        <f>SUM(O80:O85)</f>
        <v>547336.44670679676</v>
      </c>
      <c r="P86" s="10">
        <f>O86/H86</f>
        <v>0.17732205693716122</v>
      </c>
      <c r="V86" s="4">
        <f>O86+M86+K86</f>
        <v>3086680.0000000005</v>
      </c>
      <c r="W86" s="5"/>
    </row>
    <row r="89" spans="1:23" x14ac:dyDescent="0.25">
      <c r="K89" s="4">
        <f>K86*0.055</f>
        <v>9481.7583387997711</v>
      </c>
      <c r="O89" s="4">
        <f>O86*0.25</f>
        <v>136834.11167669919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McCartney</dc:creator>
  <cp:lastModifiedBy>abc</cp:lastModifiedBy>
  <dcterms:created xsi:type="dcterms:W3CDTF">2023-03-27T13:30:04Z</dcterms:created>
  <dcterms:modified xsi:type="dcterms:W3CDTF">2023-07-21T18:26:01Z</dcterms:modified>
</cp:coreProperties>
</file>