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SSAS Scheme Files\PP Schemes\S\SPM SSAS\New folder\Benefit Payments\"/>
    </mc:Choice>
  </mc:AlternateContent>
  <bookViews>
    <workbookView xWindow="0" yWindow="0" windowWidth="25200" windowHeight="11775" activeTab="2"/>
  </bookViews>
  <sheets>
    <sheet name="Top Sheet" sheetId="1" r:id="rId1"/>
    <sheet name="28-11-17 to 05-07-18" sheetId="2" r:id="rId2"/>
    <sheet name="Sheet1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0" i="3" l="1"/>
  <c r="O80" i="3"/>
  <c r="M80" i="3"/>
  <c r="N80" i="3" s="1"/>
  <c r="L80" i="3"/>
  <c r="K80" i="3"/>
  <c r="I80" i="3"/>
  <c r="J80" i="3" s="1"/>
  <c r="H80" i="3"/>
  <c r="G80" i="3"/>
  <c r="O75" i="3"/>
  <c r="P75" i="3" s="1"/>
  <c r="N75" i="3"/>
  <c r="M75" i="3"/>
  <c r="K75" i="3"/>
  <c r="L75" i="3" s="1"/>
  <c r="J75" i="3"/>
  <c r="I75" i="3"/>
  <c r="G75" i="3"/>
  <c r="Q75" i="3" s="1"/>
  <c r="O70" i="3"/>
  <c r="P70" i="3" s="1"/>
  <c r="M70" i="3"/>
  <c r="N70" i="3" s="1"/>
  <c r="K70" i="3"/>
  <c r="L70" i="3" s="1"/>
  <c r="I70" i="3"/>
  <c r="J70" i="3" s="1"/>
  <c r="G70" i="3"/>
  <c r="H70" i="3" s="1"/>
  <c r="O69" i="3"/>
  <c r="P69" i="3" s="1"/>
  <c r="M69" i="3"/>
  <c r="N69" i="3" s="1"/>
  <c r="K69" i="3"/>
  <c r="L69" i="3" s="1"/>
  <c r="I69" i="3"/>
  <c r="J69" i="3" s="1"/>
  <c r="G69" i="3"/>
  <c r="Q69" i="3" s="1"/>
  <c r="O64" i="3"/>
  <c r="P64" i="3" s="1"/>
  <c r="M64" i="3"/>
  <c r="N64" i="3" s="1"/>
  <c r="K64" i="3"/>
  <c r="L64" i="3" s="1"/>
  <c r="I64" i="3"/>
  <c r="J64" i="3" s="1"/>
  <c r="G64" i="3"/>
  <c r="H64" i="3" s="1"/>
  <c r="O83" i="3"/>
  <c r="O84" i="3" s="1"/>
  <c r="P84" i="3" s="1"/>
  <c r="O81" i="3"/>
  <c r="P81" i="3" s="1"/>
  <c r="K81" i="3"/>
  <c r="L81" i="3" s="1"/>
  <c r="I81" i="3"/>
  <c r="J81" i="3" s="1"/>
  <c r="G81" i="3"/>
  <c r="O76" i="3"/>
  <c r="O77" i="3" s="1"/>
  <c r="M76" i="3"/>
  <c r="N76" i="3" s="1"/>
  <c r="I76" i="3"/>
  <c r="J76" i="3" s="1"/>
  <c r="G76" i="3"/>
  <c r="M71" i="3"/>
  <c r="N71" i="3" s="1"/>
  <c r="K71" i="3"/>
  <c r="L71" i="3" s="1"/>
  <c r="I71" i="3"/>
  <c r="J71" i="3" s="1"/>
  <c r="K66" i="3"/>
  <c r="L66" i="3" s="1"/>
  <c r="G66" i="3"/>
  <c r="O63" i="3"/>
  <c r="P63" i="3" s="1"/>
  <c r="N63" i="3"/>
  <c r="M63" i="3"/>
  <c r="K63" i="3"/>
  <c r="L63" i="3" s="1"/>
  <c r="J63" i="3"/>
  <c r="I63" i="3"/>
  <c r="G63" i="3"/>
  <c r="Q63" i="3" s="1"/>
  <c r="O82" i="3"/>
  <c r="P82" i="3" s="1"/>
  <c r="M77" i="3"/>
  <c r="N77" i="3" s="1"/>
  <c r="I72" i="3"/>
  <c r="J72" i="3" s="1"/>
  <c r="K67" i="3"/>
  <c r="L67" i="3" s="1"/>
  <c r="O65" i="3"/>
  <c r="P65" i="3" s="1"/>
  <c r="L65" i="3"/>
  <c r="K65" i="3"/>
  <c r="I65" i="3"/>
  <c r="J65" i="3" s="1"/>
  <c r="G65" i="3"/>
  <c r="O62" i="3"/>
  <c r="P62" i="3" s="1"/>
  <c r="N62" i="3"/>
  <c r="M62" i="3"/>
  <c r="K62" i="3"/>
  <c r="L62" i="3" s="1"/>
  <c r="J62" i="3"/>
  <c r="I62" i="3"/>
  <c r="G62" i="3"/>
  <c r="Q62" i="3" s="1"/>
  <c r="O61" i="3"/>
  <c r="P61" i="3" s="1"/>
  <c r="M61" i="3"/>
  <c r="N61" i="3" s="1"/>
  <c r="K61" i="3"/>
  <c r="L61" i="3" s="1"/>
  <c r="I61" i="3"/>
  <c r="J61" i="3" s="1"/>
  <c r="G61" i="3"/>
  <c r="Q61" i="3" s="1"/>
  <c r="O60" i="3"/>
  <c r="P60" i="3" s="1"/>
  <c r="M60" i="3"/>
  <c r="N60" i="3" s="1"/>
  <c r="K60" i="3"/>
  <c r="L60" i="3" s="1"/>
  <c r="I60" i="3"/>
  <c r="J60" i="3" s="1"/>
  <c r="G60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C56" i="3"/>
  <c r="E71" i="3"/>
  <c r="F71" i="3" s="1"/>
  <c r="E70" i="3"/>
  <c r="E69" i="3"/>
  <c r="F69" i="3" s="1"/>
  <c r="E68" i="3"/>
  <c r="E67" i="3"/>
  <c r="E66" i="3"/>
  <c r="E65" i="3"/>
  <c r="F65" i="3" s="1"/>
  <c r="E64" i="3"/>
  <c r="F64" i="3" s="1"/>
  <c r="E63" i="3"/>
  <c r="F66" i="3"/>
  <c r="F72" i="3"/>
  <c r="F74" i="3"/>
  <c r="F80" i="3"/>
  <c r="F82" i="3"/>
  <c r="E62" i="3"/>
  <c r="F62" i="3" s="1"/>
  <c r="E61" i="3"/>
  <c r="F68" i="3"/>
  <c r="F76" i="3"/>
  <c r="F84" i="3"/>
  <c r="E60" i="3"/>
  <c r="F60" i="3" s="1"/>
  <c r="F61" i="3"/>
  <c r="F63" i="3"/>
  <c r="F67" i="3"/>
  <c r="F70" i="3"/>
  <c r="F73" i="3"/>
  <c r="F75" i="3"/>
  <c r="F77" i="3"/>
  <c r="F78" i="3"/>
  <c r="F79" i="3"/>
  <c r="F81" i="3"/>
  <c r="F83" i="3"/>
  <c r="E85" i="3"/>
  <c r="F85" i="3" s="1"/>
  <c r="D85" i="3"/>
  <c r="C93" i="3"/>
  <c r="C92" i="3"/>
  <c r="C94" i="3" s="1"/>
  <c r="C58" i="3"/>
  <c r="C6" i="3"/>
  <c r="C5" i="3"/>
  <c r="D4" i="3"/>
  <c r="R3" i="3"/>
  <c r="E3" i="3"/>
  <c r="E4" i="3" s="1"/>
  <c r="E5" i="3" s="1"/>
  <c r="E6" i="3" s="1"/>
  <c r="E7" i="3" s="1"/>
  <c r="E8" i="3" s="1"/>
  <c r="E9" i="3" s="1"/>
  <c r="E10" i="3" s="1"/>
  <c r="E11" i="3" s="1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3" i="3" s="1"/>
  <c r="E24" i="3" s="1"/>
  <c r="E25" i="3" s="1"/>
  <c r="E26" i="3" s="1"/>
  <c r="E27" i="3" s="1"/>
  <c r="E28" i="3" s="1"/>
  <c r="E29" i="3" s="1"/>
  <c r="E30" i="3" s="1"/>
  <c r="E31" i="3" s="1"/>
  <c r="E32" i="3" s="1"/>
  <c r="E33" i="3" s="1"/>
  <c r="E34" i="3" s="1"/>
  <c r="E35" i="3" s="1"/>
  <c r="E36" i="3" s="1"/>
  <c r="E37" i="3" s="1"/>
  <c r="E38" i="3" s="1"/>
  <c r="E39" i="3" s="1"/>
  <c r="E40" i="3" s="1"/>
  <c r="E41" i="3" s="1"/>
  <c r="E42" i="3" s="1"/>
  <c r="E43" i="3" s="1"/>
  <c r="E44" i="3" s="1"/>
  <c r="E45" i="3" s="1"/>
  <c r="E46" i="3" s="1"/>
  <c r="E47" i="3" s="1"/>
  <c r="E48" i="3" s="1"/>
  <c r="E49" i="3" s="1"/>
  <c r="E50" i="3" s="1"/>
  <c r="R80" i="3" l="1"/>
  <c r="Q80" i="3"/>
  <c r="Q81" i="3"/>
  <c r="I82" i="3"/>
  <c r="M81" i="3"/>
  <c r="N81" i="3" s="1"/>
  <c r="Q76" i="3"/>
  <c r="M78" i="3"/>
  <c r="K76" i="3"/>
  <c r="H75" i="3"/>
  <c r="R75" i="3" s="1"/>
  <c r="R70" i="3"/>
  <c r="M72" i="3"/>
  <c r="G71" i="3"/>
  <c r="O71" i="3"/>
  <c r="O72" i="3" s="1"/>
  <c r="P72" i="3" s="1"/>
  <c r="Q70" i="3"/>
  <c r="K72" i="3"/>
  <c r="L72" i="3" s="1"/>
  <c r="I73" i="3"/>
  <c r="H69" i="3"/>
  <c r="R69" i="3" s="1"/>
  <c r="R64" i="3"/>
  <c r="O66" i="3"/>
  <c r="O67" i="3" s="1"/>
  <c r="Q65" i="3"/>
  <c r="H65" i="3"/>
  <c r="M65" i="3"/>
  <c r="K68" i="3"/>
  <c r="L68" i="3" s="1"/>
  <c r="Q64" i="3"/>
  <c r="I66" i="3"/>
  <c r="J66" i="3" s="1"/>
  <c r="P83" i="3"/>
  <c r="K82" i="3"/>
  <c r="H81" i="3"/>
  <c r="R81" i="3" s="1"/>
  <c r="G82" i="3"/>
  <c r="O78" i="3"/>
  <c r="P77" i="3"/>
  <c r="G77" i="3"/>
  <c r="H76" i="3"/>
  <c r="P76" i="3"/>
  <c r="I77" i="3"/>
  <c r="G72" i="3"/>
  <c r="H71" i="3"/>
  <c r="K73" i="3"/>
  <c r="H66" i="3"/>
  <c r="P66" i="3"/>
  <c r="G67" i="3"/>
  <c r="H63" i="3"/>
  <c r="R63" i="3" s="1"/>
  <c r="H72" i="3"/>
  <c r="H62" i="3"/>
  <c r="R62" i="3" s="1"/>
  <c r="H61" i="3"/>
  <c r="R61" i="3" s="1"/>
  <c r="H60" i="3"/>
  <c r="R60" i="3" s="1"/>
  <c r="Q60" i="3"/>
  <c r="M85" i="3"/>
  <c r="N85" i="3" s="1"/>
  <c r="I85" i="3"/>
  <c r="J85" i="3" s="1"/>
  <c r="O85" i="3"/>
  <c r="P85" i="3" s="1"/>
  <c r="G85" i="3"/>
  <c r="E59" i="3"/>
  <c r="F59" i="3" s="1"/>
  <c r="F4" i="3"/>
  <c r="F3" i="3"/>
  <c r="O3" i="3" s="1"/>
  <c r="O4" i="3" s="1"/>
  <c r="G3" i="3"/>
  <c r="D5" i="3"/>
  <c r="E52" i="2"/>
  <c r="H82" i="3" l="1"/>
  <c r="G83" i="3"/>
  <c r="M82" i="3"/>
  <c r="J82" i="3"/>
  <c r="I83" i="3"/>
  <c r="L82" i="3"/>
  <c r="K83" i="3"/>
  <c r="P78" i="3"/>
  <c r="O79" i="3"/>
  <c r="P79" i="3" s="1"/>
  <c r="L76" i="3"/>
  <c r="K85" i="3" s="1"/>
  <c r="L85" i="3" s="1"/>
  <c r="K77" i="3"/>
  <c r="N78" i="3"/>
  <c r="M79" i="3"/>
  <c r="N79" i="3" s="1"/>
  <c r="Q71" i="3"/>
  <c r="L73" i="3"/>
  <c r="K74" i="3"/>
  <c r="L74" i="3" s="1"/>
  <c r="O73" i="3"/>
  <c r="N72" i="3"/>
  <c r="M73" i="3"/>
  <c r="R72" i="3"/>
  <c r="J73" i="3"/>
  <c r="I74" i="3"/>
  <c r="J74" i="3" s="1"/>
  <c r="P71" i="3"/>
  <c r="R71" i="3" s="1"/>
  <c r="I67" i="3"/>
  <c r="G68" i="3"/>
  <c r="P67" i="3"/>
  <c r="O68" i="3"/>
  <c r="P68" i="3" s="1"/>
  <c r="N65" i="3"/>
  <c r="R65" i="3" s="1"/>
  <c r="M66" i="3"/>
  <c r="Q82" i="3"/>
  <c r="J77" i="3"/>
  <c r="I78" i="3"/>
  <c r="H77" i="3"/>
  <c r="G78" i="3"/>
  <c r="G79" i="3" s="1"/>
  <c r="R76" i="3"/>
  <c r="Q72" i="3"/>
  <c r="G73" i="3"/>
  <c r="G74" i="3" s="1"/>
  <c r="H67" i="3"/>
  <c r="Q85" i="3"/>
  <c r="H85" i="3"/>
  <c r="R85" i="3" s="1"/>
  <c r="M3" i="3"/>
  <c r="M4" i="3" s="1"/>
  <c r="M5" i="3" s="1"/>
  <c r="K3" i="3"/>
  <c r="K4" i="3" s="1"/>
  <c r="K5" i="3" s="1"/>
  <c r="I3" i="3"/>
  <c r="I4" i="3" s="1"/>
  <c r="I5" i="3" s="1"/>
  <c r="P4" i="3"/>
  <c r="O5" i="3"/>
  <c r="F5" i="3"/>
  <c r="D6" i="3"/>
  <c r="G4" i="3"/>
  <c r="C63" i="2"/>
  <c r="C67" i="2" s="1"/>
  <c r="F52" i="2"/>
  <c r="O36" i="2"/>
  <c r="O35" i="2"/>
  <c r="O34" i="2"/>
  <c r="O33" i="2"/>
  <c r="M36" i="2"/>
  <c r="M32" i="2"/>
  <c r="M33" i="2" s="1"/>
  <c r="M34" i="2" s="1"/>
  <c r="M35" i="2" s="1"/>
  <c r="K36" i="2"/>
  <c r="K35" i="2"/>
  <c r="K34" i="2"/>
  <c r="K33" i="2"/>
  <c r="I36" i="2"/>
  <c r="I35" i="2"/>
  <c r="I34" i="2"/>
  <c r="I33" i="2"/>
  <c r="G35" i="2"/>
  <c r="G36" i="2" s="1"/>
  <c r="G34" i="2"/>
  <c r="G33" i="2"/>
  <c r="E36" i="2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O31" i="2"/>
  <c r="O30" i="2"/>
  <c r="O29" i="2"/>
  <c r="O28" i="2"/>
  <c r="M31" i="2"/>
  <c r="M30" i="2"/>
  <c r="M29" i="2"/>
  <c r="M28" i="2"/>
  <c r="K31" i="2"/>
  <c r="K30" i="2"/>
  <c r="K29" i="2"/>
  <c r="K28" i="2"/>
  <c r="I31" i="2"/>
  <c r="I30" i="2"/>
  <c r="I29" i="2"/>
  <c r="I28" i="2"/>
  <c r="G31" i="2"/>
  <c r="G30" i="2"/>
  <c r="G29" i="2"/>
  <c r="G28" i="2"/>
  <c r="O14" i="2"/>
  <c r="M14" i="2"/>
  <c r="K14" i="2"/>
  <c r="G14" i="2"/>
  <c r="O13" i="2"/>
  <c r="M13" i="2"/>
  <c r="K13" i="2"/>
  <c r="I13" i="2"/>
  <c r="I14" i="2" s="1"/>
  <c r="G13" i="2"/>
  <c r="O12" i="2"/>
  <c r="M12" i="2"/>
  <c r="K12" i="2"/>
  <c r="I12" i="2"/>
  <c r="G12" i="2"/>
  <c r="O11" i="2"/>
  <c r="M11" i="2"/>
  <c r="K11" i="2"/>
  <c r="I11" i="2"/>
  <c r="G11" i="2"/>
  <c r="C6" i="2"/>
  <c r="O5" i="2"/>
  <c r="M5" i="2"/>
  <c r="K5" i="2"/>
  <c r="I5" i="2"/>
  <c r="G5" i="2"/>
  <c r="O4" i="2"/>
  <c r="P4" i="2" s="1"/>
  <c r="M4" i="2"/>
  <c r="K4" i="2"/>
  <c r="I4" i="2"/>
  <c r="J4" i="2" s="1"/>
  <c r="G4" i="2"/>
  <c r="N4" i="2"/>
  <c r="L4" i="2"/>
  <c r="H4" i="2"/>
  <c r="F4" i="2"/>
  <c r="E4" i="2"/>
  <c r="E5" i="2" s="1"/>
  <c r="D4" i="2"/>
  <c r="D5" i="2" s="1"/>
  <c r="E3" i="2"/>
  <c r="C5" i="2"/>
  <c r="N82" i="3" l="1"/>
  <c r="R82" i="3" s="1"/>
  <c r="M83" i="3"/>
  <c r="H83" i="3"/>
  <c r="G84" i="3"/>
  <c r="L83" i="3"/>
  <c r="K84" i="3"/>
  <c r="L84" i="3" s="1"/>
  <c r="J83" i="3"/>
  <c r="I84" i="3"/>
  <c r="J84" i="3" s="1"/>
  <c r="H79" i="3"/>
  <c r="K78" i="3"/>
  <c r="L77" i="3"/>
  <c r="R77" i="3" s="1"/>
  <c r="J78" i="3"/>
  <c r="I79" i="3"/>
  <c r="J79" i="3" s="1"/>
  <c r="Q77" i="3"/>
  <c r="H74" i="3"/>
  <c r="N73" i="3"/>
  <c r="M74" i="3"/>
  <c r="N74" i="3" s="1"/>
  <c r="P73" i="3"/>
  <c r="O74" i="3"/>
  <c r="P74" i="3" s="1"/>
  <c r="H68" i="3"/>
  <c r="N66" i="3"/>
  <c r="R66" i="3" s="1"/>
  <c r="M67" i="3"/>
  <c r="Q66" i="3"/>
  <c r="J67" i="3"/>
  <c r="I68" i="3"/>
  <c r="J68" i="3" s="1"/>
  <c r="H78" i="3"/>
  <c r="Q78" i="3"/>
  <c r="Q73" i="3"/>
  <c r="H73" i="3"/>
  <c r="R73" i="3" s="1"/>
  <c r="J4" i="3"/>
  <c r="N4" i="3"/>
  <c r="L4" i="3"/>
  <c r="Q3" i="3"/>
  <c r="K6" i="3"/>
  <c r="L5" i="3"/>
  <c r="I6" i="3"/>
  <c r="J5" i="3"/>
  <c r="Q4" i="3"/>
  <c r="H4" i="3"/>
  <c r="R4" i="3" s="1"/>
  <c r="G5" i="3"/>
  <c r="P5" i="3"/>
  <c r="O6" i="3"/>
  <c r="M6" i="3"/>
  <c r="N5" i="3"/>
  <c r="F6" i="3"/>
  <c r="D7" i="3"/>
  <c r="Q4" i="2"/>
  <c r="R4" i="2"/>
  <c r="D6" i="2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R3" i="2"/>
  <c r="E6" i="2"/>
  <c r="E7" i="2" s="1"/>
  <c r="N83" i="3" l="1"/>
  <c r="R83" i="3" s="1"/>
  <c r="M84" i="3"/>
  <c r="N84" i="3" s="1"/>
  <c r="Q83" i="3"/>
  <c r="Q84" i="3"/>
  <c r="H84" i="3"/>
  <c r="R84" i="3" s="1"/>
  <c r="R78" i="3"/>
  <c r="L78" i="3"/>
  <c r="K79" i="3"/>
  <c r="R74" i="3"/>
  <c r="Q74" i="3"/>
  <c r="R68" i="3"/>
  <c r="N67" i="3"/>
  <c r="R67" i="3" s="1"/>
  <c r="M68" i="3"/>
  <c r="N68" i="3" s="1"/>
  <c r="Q67" i="3"/>
  <c r="N6" i="3"/>
  <c r="M7" i="3" s="1"/>
  <c r="F7" i="3"/>
  <c r="D8" i="3"/>
  <c r="P6" i="3"/>
  <c r="O7" i="3" s="1"/>
  <c r="L6" i="3"/>
  <c r="K7" i="3" s="1"/>
  <c r="Q5" i="3"/>
  <c r="G6" i="3"/>
  <c r="H5" i="3"/>
  <c r="R5" i="3" s="1"/>
  <c r="J6" i="3"/>
  <c r="I7" i="3" s="1"/>
  <c r="D37" i="2"/>
  <c r="F36" i="2"/>
  <c r="E8" i="2"/>
  <c r="F7" i="2"/>
  <c r="F6" i="2"/>
  <c r="F5" i="2"/>
  <c r="F3" i="2"/>
  <c r="L79" i="3" l="1"/>
  <c r="R79" i="3" s="1"/>
  <c r="Q79" i="3"/>
  <c r="Q68" i="3"/>
  <c r="K8" i="3"/>
  <c r="L7" i="3"/>
  <c r="J7" i="3"/>
  <c r="I8" i="3"/>
  <c r="O8" i="3"/>
  <c r="P7" i="3"/>
  <c r="N7" i="3"/>
  <c r="M8" i="3"/>
  <c r="D9" i="3"/>
  <c r="F8" i="3"/>
  <c r="Q6" i="3"/>
  <c r="H6" i="3"/>
  <c r="R6" i="3" s="1"/>
  <c r="D38" i="2"/>
  <c r="F37" i="2"/>
  <c r="E9" i="2"/>
  <c r="F8" i="2"/>
  <c r="G3" i="2"/>
  <c r="M3" i="2"/>
  <c r="M6" i="2" s="1"/>
  <c r="I3" i="2"/>
  <c r="I6" i="2" s="1"/>
  <c r="O3" i="2"/>
  <c r="O6" i="2" s="1"/>
  <c r="K3" i="2"/>
  <c r="K6" i="2" s="1"/>
  <c r="G97" i="1"/>
  <c r="G95" i="1"/>
  <c r="G83" i="1"/>
  <c r="D82" i="1"/>
  <c r="C82" i="1"/>
  <c r="G82" i="1" s="1"/>
  <c r="G81" i="1"/>
  <c r="G69" i="1"/>
  <c r="G67" i="1"/>
  <c r="C55" i="1"/>
  <c r="B55" i="1"/>
  <c r="G53" i="1"/>
  <c r="F16" i="1"/>
  <c r="E16" i="1"/>
  <c r="D16" i="1"/>
  <c r="F14" i="1"/>
  <c r="B11" i="1"/>
  <c r="E10" i="1"/>
  <c r="G9" i="1"/>
  <c r="G8" i="1"/>
  <c r="E8" i="1"/>
  <c r="E7" i="1"/>
  <c r="E11" i="1" s="1"/>
  <c r="C7" i="1"/>
  <c r="B7" i="1"/>
  <c r="B12" i="1" s="1"/>
  <c r="B6" i="1"/>
  <c r="F9" i="3" l="1"/>
  <c r="D10" i="3"/>
  <c r="P8" i="3"/>
  <c r="O9" i="3"/>
  <c r="K9" i="3"/>
  <c r="L8" i="3"/>
  <c r="G7" i="3"/>
  <c r="M9" i="3"/>
  <c r="N8" i="3"/>
  <c r="J8" i="3"/>
  <c r="I9" i="3"/>
  <c r="F38" i="2"/>
  <c r="D39" i="2"/>
  <c r="P5" i="2"/>
  <c r="L6" i="2"/>
  <c r="K7" i="2" s="1"/>
  <c r="P6" i="2"/>
  <c r="O7" i="2" s="1"/>
  <c r="J5" i="2"/>
  <c r="J6" i="2"/>
  <c r="I7" i="2" s="1"/>
  <c r="L5" i="2"/>
  <c r="N6" i="2"/>
  <c r="M7" i="2" s="1"/>
  <c r="N5" i="2"/>
  <c r="E10" i="2"/>
  <c r="F9" i="2"/>
  <c r="Q3" i="2"/>
  <c r="Q5" i="2"/>
  <c r="C10" i="1"/>
  <c r="C11" i="1"/>
  <c r="C12" i="1"/>
  <c r="B10" i="1"/>
  <c r="B14" i="1" s="1"/>
  <c r="B15" i="1" s="1"/>
  <c r="E12" i="1"/>
  <c r="E14" i="1" s="1"/>
  <c r="G6" i="1"/>
  <c r="G14" i="1" s="1"/>
  <c r="F15" i="1" s="1"/>
  <c r="F10" i="3" l="1"/>
  <c r="D11" i="3"/>
  <c r="L9" i="3"/>
  <c r="K10" i="3" s="1"/>
  <c r="N9" i="3"/>
  <c r="M10" i="3" s="1"/>
  <c r="P9" i="3"/>
  <c r="O10" i="3" s="1"/>
  <c r="J9" i="3"/>
  <c r="I10" i="3" s="1"/>
  <c r="G8" i="3"/>
  <c r="Q7" i="3"/>
  <c r="H7" i="3"/>
  <c r="R7" i="3" s="1"/>
  <c r="F39" i="2"/>
  <c r="D40" i="2"/>
  <c r="P7" i="2"/>
  <c r="O8" i="2"/>
  <c r="I8" i="2"/>
  <c r="J7" i="2"/>
  <c r="N7" i="2"/>
  <c r="M8" i="2"/>
  <c r="L7" i="2"/>
  <c r="K8" i="2"/>
  <c r="E11" i="2"/>
  <c r="F10" i="2"/>
  <c r="H5" i="2"/>
  <c r="R5" i="2" s="1"/>
  <c r="G6" i="2"/>
  <c r="B19" i="1"/>
  <c r="D20" i="1"/>
  <c r="B18" i="1"/>
  <c r="D19" i="1"/>
  <c r="B20" i="1"/>
  <c r="D18" i="1"/>
  <c r="F19" i="1"/>
  <c r="F18" i="1"/>
  <c r="F20" i="1"/>
  <c r="C14" i="1"/>
  <c r="C15" i="1" s="1"/>
  <c r="E15" i="1"/>
  <c r="I11" i="3" l="1"/>
  <c r="J10" i="3"/>
  <c r="M11" i="3"/>
  <c r="N10" i="3"/>
  <c r="P10" i="3"/>
  <c r="O11" i="3"/>
  <c r="L10" i="3"/>
  <c r="K11" i="3"/>
  <c r="Q8" i="3"/>
  <c r="G9" i="3"/>
  <c r="H8" i="3"/>
  <c r="R8" i="3" s="1"/>
  <c r="F11" i="3"/>
  <c r="D12" i="3"/>
  <c r="F40" i="2"/>
  <c r="D41" i="2"/>
  <c r="H6" i="2"/>
  <c r="R6" i="2" s="1"/>
  <c r="Q6" i="2"/>
  <c r="I9" i="2"/>
  <c r="J8" i="2"/>
  <c r="O9" i="2"/>
  <c r="P9" i="2" s="1"/>
  <c r="O10" i="2" s="1"/>
  <c r="P10" i="2" s="1"/>
  <c r="P8" i="2"/>
  <c r="E12" i="2"/>
  <c r="F11" i="2"/>
  <c r="M9" i="2"/>
  <c r="N8" i="2"/>
  <c r="K9" i="2"/>
  <c r="L8" i="2"/>
  <c r="D22" i="1"/>
  <c r="E20" i="1"/>
  <c r="E19" i="1"/>
  <c r="E18" i="1"/>
  <c r="C18" i="1"/>
  <c r="C20" i="1"/>
  <c r="C19" i="1"/>
  <c r="F22" i="1"/>
  <c r="B22" i="1"/>
  <c r="H9" i="3" l="1"/>
  <c r="R9" i="3" s="1"/>
  <c r="Q9" i="3"/>
  <c r="O12" i="3"/>
  <c r="P11" i="3"/>
  <c r="D13" i="3"/>
  <c r="F12" i="3"/>
  <c r="J11" i="3"/>
  <c r="I12" i="3"/>
  <c r="K12" i="3"/>
  <c r="L11" i="3"/>
  <c r="N11" i="3"/>
  <c r="M12" i="3"/>
  <c r="F41" i="2"/>
  <c r="D42" i="2"/>
  <c r="P11" i="2"/>
  <c r="G7" i="2"/>
  <c r="H7" i="2" s="1"/>
  <c r="R7" i="2" s="1"/>
  <c r="E13" i="2"/>
  <c r="F12" i="2"/>
  <c r="N9" i="2"/>
  <c r="M10" i="2" s="1"/>
  <c r="N10" i="2" s="1"/>
  <c r="N11" i="2" s="1"/>
  <c r="G8" i="2"/>
  <c r="Q7" i="2"/>
  <c r="L9" i="2"/>
  <c r="K10" i="2" s="1"/>
  <c r="L10" i="2" s="1"/>
  <c r="L11" i="2" s="1"/>
  <c r="J9" i="2"/>
  <c r="I10" i="2" s="1"/>
  <c r="J10" i="2" s="1"/>
  <c r="J11" i="2" s="1"/>
  <c r="C22" i="1"/>
  <c r="E22" i="1"/>
  <c r="N12" i="3" l="1"/>
  <c r="M13" i="3"/>
  <c r="I13" i="3"/>
  <c r="J12" i="3"/>
  <c r="O13" i="3"/>
  <c r="P12" i="3"/>
  <c r="K13" i="3"/>
  <c r="L12" i="3"/>
  <c r="D14" i="3"/>
  <c r="F13" i="3"/>
  <c r="G10" i="3"/>
  <c r="D43" i="2"/>
  <c r="F42" i="2"/>
  <c r="P12" i="2"/>
  <c r="N12" i="2"/>
  <c r="G9" i="2"/>
  <c r="Q8" i="2"/>
  <c r="H8" i="2"/>
  <c r="R8" i="2" s="1"/>
  <c r="J12" i="2"/>
  <c r="E14" i="2"/>
  <c r="F13" i="2"/>
  <c r="G22" i="1"/>
  <c r="M14" i="3" l="1"/>
  <c r="N13" i="3"/>
  <c r="F14" i="3"/>
  <c r="D15" i="3"/>
  <c r="P13" i="3"/>
  <c r="O14" i="3"/>
  <c r="Q10" i="3"/>
  <c r="G11" i="3"/>
  <c r="H10" i="3"/>
  <c r="R10" i="3" s="1"/>
  <c r="L13" i="3"/>
  <c r="K14" i="3"/>
  <c r="I14" i="3"/>
  <c r="J13" i="3"/>
  <c r="F43" i="2"/>
  <c r="D44" i="2"/>
  <c r="J13" i="2"/>
  <c r="Q9" i="2"/>
  <c r="H9" i="2"/>
  <c r="R9" i="2" s="1"/>
  <c r="P13" i="2"/>
  <c r="N13" i="2"/>
  <c r="E15" i="2"/>
  <c r="F14" i="2"/>
  <c r="F24" i="1"/>
  <c r="D24" i="1"/>
  <c r="B24" i="1"/>
  <c r="E24" i="1"/>
  <c r="C24" i="1"/>
  <c r="N14" i="3" l="1"/>
  <c r="M15" i="3" s="1"/>
  <c r="J14" i="3"/>
  <c r="I15" i="3" s="1"/>
  <c r="G12" i="3"/>
  <c r="H11" i="3"/>
  <c r="R11" i="3" s="1"/>
  <c r="Q11" i="3"/>
  <c r="F15" i="3"/>
  <c r="D16" i="3"/>
  <c r="L14" i="3"/>
  <c r="K15" i="3" s="1"/>
  <c r="P14" i="3"/>
  <c r="O15" i="3" s="1"/>
  <c r="F44" i="2"/>
  <c r="D45" i="2"/>
  <c r="P14" i="2"/>
  <c r="O15" i="2" s="1"/>
  <c r="O16" i="2" s="1"/>
  <c r="O17" i="2" s="1"/>
  <c r="O18" i="2" s="1"/>
  <c r="O19" i="2" s="1"/>
  <c r="O20" i="2" s="1"/>
  <c r="O21" i="2" s="1"/>
  <c r="O22" i="2" s="1"/>
  <c r="O23" i="2" s="1"/>
  <c r="O24" i="2" s="1"/>
  <c r="O25" i="2" s="1"/>
  <c r="N14" i="2"/>
  <c r="M15" i="2" s="1"/>
  <c r="M16" i="2" s="1"/>
  <c r="M17" i="2" s="1"/>
  <c r="M18" i="2" s="1"/>
  <c r="M19" i="2" s="1"/>
  <c r="M20" i="2" s="1"/>
  <c r="M21" i="2" s="1"/>
  <c r="M22" i="2" s="1"/>
  <c r="M23" i="2" s="1"/>
  <c r="M24" i="2" s="1"/>
  <c r="M25" i="2" s="1"/>
  <c r="J14" i="2"/>
  <c r="I15" i="2" s="1"/>
  <c r="I16" i="2" s="1"/>
  <c r="I17" i="2" s="1"/>
  <c r="I18" i="2" s="1"/>
  <c r="I19" i="2" s="1"/>
  <c r="I20" i="2" s="1"/>
  <c r="I21" i="2" s="1"/>
  <c r="I22" i="2" s="1"/>
  <c r="I23" i="2" s="1"/>
  <c r="I24" i="2" s="1"/>
  <c r="I25" i="2" s="1"/>
  <c r="E16" i="2"/>
  <c r="F15" i="2"/>
  <c r="G10" i="2"/>
  <c r="E30" i="1"/>
  <c r="E29" i="1"/>
  <c r="E28" i="1"/>
  <c r="B30" i="1"/>
  <c r="B32" i="1" s="1"/>
  <c r="B29" i="1"/>
  <c r="B28" i="1"/>
  <c r="G24" i="1"/>
  <c r="D28" i="1"/>
  <c r="D30" i="1"/>
  <c r="D29" i="1"/>
  <c r="C29" i="1"/>
  <c r="C28" i="1"/>
  <c r="C30" i="1"/>
  <c r="F30" i="1"/>
  <c r="F29" i="1"/>
  <c r="F28" i="1"/>
  <c r="K16" i="3" l="1"/>
  <c r="L15" i="3"/>
  <c r="J15" i="3"/>
  <c r="I16" i="3"/>
  <c r="O16" i="3"/>
  <c r="P15" i="3"/>
  <c r="N15" i="3"/>
  <c r="M16" i="3"/>
  <c r="D17" i="3"/>
  <c r="F16" i="3"/>
  <c r="G13" i="3"/>
  <c r="H12" i="3"/>
  <c r="R12" i="3" s="1"/>
  <c r="Q12" i="3"/>
  <c r="D46" i="2"/>
  <c r="F45" i="2"/>
  <c r="N15" i="2"/>
  <c r="J15" i="2"/>
  <c r="H10" i="2"/>
  <c r="R10" i="2" s="1"/>
  <c r="Q10" i="2"/>
  <c r="P15" i="2"/>
  <c r="E17" i="2"/>
  <c r="F16" i="2"/>
  <c r="F32" i="1"/>
  <c r="B33" i="1"/>
  <c r="B35" i="1" s="1"/>
  <c r="B38" i="1"/>
  <c r="H32" i="1"/>
  <c r="G38" i="1" s="1"/>
  <c r="C32" i="1"/>
  <c r="D32" i="1"/>
  <c r="E32" i="1"/>
  <c r="D18" i="3" l="1"/>
  <c r="F17" i="3"/>
  <c r="O17" i="3"/>
  <c r="P16" i="3"/>
  <c r="K17" i="3"/>
  <c r="L16" i="3"/>
  <c r="M17" i="3"/>
  <c r="N16" i="3"/>
  <c r="I17" i="3"/>
  <c r="J16" i="3"/>
  <c r="H13" i="3"/>
  <c r="R13" i="3" s="1"/>
  <c r="G14" i="3"/>
  <c r="Q13" i="3"/>
  <c r="F46" i="2"/>
  <c r="D47" i="2"/>
  <c r="P16" i="2"/>
  <c r="N16" i="2"/>
  <c r="J16" i="2"/>
  <c r="Q11" i="2"/>
  <c r="H11" i="2"/>
  <c r="R11" i="2" s="1"/>
  <c r="E18" i="2"/>
  <c r="F17" i="2"/>
  <c r="E33" i="1"/>
  <c r="E35" i="1" s="1"/>
  <c r="E38" i="1"/>
  <c r="B39" i="1"/>
  <c r="D38" i="1"/>
  <c r="D33" i="1"/>
  <c r="D35" i="1" s="1"/>
  <c r="C33" i="1"/>
  <c r="C35" i="1" s="1"/>
  <c r="G35" i="1" s="1"/>
  <c r="C38" i="1"/>
  <c r="F33" i="1"/>
  <c r="F35" i="1" s="1"/>
  <c r="F38" i="1"/>
  <c r="I18" i="3" l="1"/>
  <c r="J17" i="3"/>
  <c r="L17" i="3"/>
  <c r="K18" i="3"/>
  <c r="D19" i="3"/>
  <c r="F18" i="3"/>
  <c r="Q14" i="3"/>
  <c r="H14" i="3"/>
  <c r="R14" i="3" s="1"/>
  <c r="M18" i="3"/>
  <c r="N17" i="3"/>
  <c r="P17" i="3"/>
  <c r="O18" i="3"/>
  <c r="D48" i="2"/>
  <c r="F47" i="2"/>
  <c r="H12" i="2"/>
  <c r="P17" i="2"/>
  <c r="N17" i="2"/>
  <c r="E19" i="2"/>
  <c r="F18" i="2"/>
  <c r="J17" i="2"/>
  <c r="B44" i="1"/>
  <c r="B43" i="1"/>
  <c r="B42" i="1"/>
  <c r="B46" i="1" s="1"/>
  <c r="F39" i="1"/>
  <c r="D39" i="1"/>
  <c r="E39" i="1"/>
  <c r="C39" i="1"/>
  <c r="M19" i="3" l="1"/>
  <c r="N18" i="3"/>
  <c r="P18" i="3"/>
  <c r="O19" i="3"/>
  <c r="F19" i="3"/>
  <c r="D20" i="3"/>
  <c r="J18" i="3"/>
  <c r="I19" i="3"/>
  <c r="G15" i="3"/>
  <c r="K19" i="3"/>
  <c r="L18" i="3"/>
  <c r="D49" i="2"/>
  <c r="F48" i="2"/>
  <c r="E20" i="2"/>
  <c r="F19" i="2"/>
  <c r="J18" i="2"/>
  <c r="P18" i="2"/>
  <c r="N18" i="2"/>
  <c r="C43" i="1"/>
  <c r="C42" i="1"/>
  <c r="C44" i="1"/>
  <c r="G39" i="1"/>
  <c r="D42" i="1"/>
  <c r="D44" i="1"/>
  <c r="D43" i="1"/>
  <c r="B51" i="1"/>
  <c r="E44" i="1"/>
  <c r="E43" i="1"/>
  <c r="E42" i="1"/>
  <c r="F44" i="1"/>
  <c r="F43" i="1"/>
  <c r="F42" i="1"/>
  <c r="F46" i="1" s="1"/>
  <c r="G16" i="3" l="1"/>
  <c r="Q15" i="3"/>
  <c r="H15" i="3"/>
  <c r="R15" i="3" s="1"/>
  <c r="N19" i="3"/>
  <c r="M20" i="3"/>
  <c r="J19" i="3"/>
  <c r="I20" i="3"/>
  <c r="O20" i="3"/>
  <c r="P19" i="3"/>
  <c r="K20" i="3"/>
  <c r="L19" i="3"/>
  <c r="D21" i="3"/>
  <c r="F20" i="3"/>
  <c r="F49" i="2"/>
  <c r="D50" i="2"/>
  <c r="P19" i="2"/>
  <c r="H13" i="2"/>
  <c r="J19" i="2"/>
  <c r="H14" i="2"/>
  <c r="N19" i="2"/>
  <c r="E21" i="2"/>
  <c r="F20" i="2"/>
  <c r="F51" i="1"/>
  <c r="C46" i="1"/>
  <c r="E46" i="1"/>
  <c r="D46" i="1"/>
  <c r="L20" i="3" l="1"/>
  <c r="K21" i="3"/>
  <c r="M21" i="3"/>
  <c r="N20" i="3"/>
  <c r="H16" i="3"/>
  <c r="R16" i="3" s="1"/>
  <c r="Q16" i="3"/>
  <c r="G17" i="3"/>
  <c r="D22" i="3"/>
  <c r="F21" i="3"/>
  <c r="P20" i="3"/>
  <c r="O21" i="3"/>
  <c r="J20" i="3"/>
  <c r="I21" i="3"/>
  <c r="F50" i="2"/>
  <c r="P20" i="2"/>
  <c r="J20" i="2"/>
  <c r="N20" i="2"/>
  <c r="E22" i="2"/>
  <c r="F21" i="2"/>
  <c r="G15" i="2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D51" i="1"/>
  <c r="E51" i="1"/>
  <c r="C51" i="1"/>
  <c r="G46" i="1"/>
  <c r="I22" i="3" l="1"/>
  <c r="J21" i="3"/>
  <c r="D23" i="3"/>
  <c r="F22" i="3"/>
  <c r="P21" i="3"/>
  <c r="O22" i="3"/>
  <c r="H17" i="3"/>
  <c r="R17" i="3" s="1"/>
  <c r="G18" i="3"/>
  <c r="Q17" i="3"/>
  <c r="M22" i="3"/>
  <c r="N21" i="3"/>
  <c r="L21" i="3"/>
  <c r="K22" i="3"/>
  <c r="N21" i="2"/>
  <c r="P21" i="2"/>
  <c r="H15" i="2"/>
  <c r="E23" i="2"/>
  <c r="F22" i="2"/>
  <c r="J21" i="2"/>
  <c r="B48" i="1"/>
  <c r="F48" i="1"/>
  <c r="F52" i="1" s="1"/>
  <c r="E48" i="1"/>
  <c r="E52" i="1" s="1"/>
  <c r="G51" i="1"/>
  <c r="G59" i="1" s="1"/>
  <c r="C48" i="1"/>
  <c r="C52" i="1" s="1"/>
  <c r="D48" i="1"/>
  <c r="D52" i="1" s="1"/>
  <c r="N22" i="3" l="1"/>
  <c r="M23" i="3"/>
  <c r="O23" i="3"/>
  <c r="P22" i="3"/>
  <c r="K23" i="3"/>
  <c r="L22" i="3"/>
  <c r="I23" i="3"/>
  <c r="J22" i="3"/>
  <c r="Q18" i="3"/>
  <c r="H18" i="3"/>
  <c r="R18" i="3" s="1"/>
  <c r="G19" i="3"/>
  <c r="F23" i="3"/>
  <c r="D24" i="3"/>
  <c r="E24" i="2"/>
  <c r="F23" i="2"/>
  <c r="N22" i="2"/>
  <c r="P22" i="2"/>
  <c r="J22" i="2"/>
  <c r="D58" i="1"/>
  <c r="D57" i="1"/>
  <c r="D56" i="1"/>
  <c r="D60" i="1" s="1"/>
  <c r="C56" i="1"/>
  <c r="C60" i="1" s="1"/>
  <c r="C58" i="1"/>
  <c r="C57" i="1"/>
  <c r="E57" i="1"/>
  <c r="E56" i="1"/>
  <c r="E60" i="1" s="1"/>
  <c r="E58" i="1"/>
  <c r="F56" i="1"/>
  <c r="F57" i="1"/>
  <c r="F58" i="1"/>
  <c r="G48" i="1"/>
  <c r="B52" i="1"/>
  <c r="D25" i="3" l="1"/>
  <c r="F24" i="3"/>
  <c r="K24" i="3"/>
  <c r="L23" i="3"/>
  <c r="G20" i="3"/>
  <c r="Q19" i="3"/>
  <c r="H19" i="3"/>
  <c r="R19" i="3" s="1"/>
  <c r="J23" i="3"/>
  <c r="I24" i="3"/>
  <c r="O24" i="3"/>
  <c r="P23" i="3"/>
  <c r="N23" i="3"/>
  <c r="M24" i="3"/>
  <c r="N23" i="2"/>
  <c r="H16" i="2"/>
  <c r="E25" i="2"/>
  <c r="F24" i="2"/>
  <c r="J23" i="2"/>
  <c r="P23" i="2"/>
  <c r="C65" i="1"/>
  <c r="C70" i="1" s="1"/>
  <c r="B56" i="1"/>
  <c r="B60" i="1" s="1"/>
  <c r="G52" i="1"/>
  <c r="B58" i="1"/>
  <c r="B57" i="1"/>
  <c r="E65" i="1"/>
  <c r="E70" i="1" s="1"/>
  <c r="D65" i="1"/>
  <c r="D70" i="1" s="1"/>
  <c r="F60" i="1"/>
  <c r="P24" i="3" l="1"/>
  <c r="O25" i="3"/>
  <c r="N24" i="3"/>
  <c r="M25" i="3"/>
  <c r="J24" i="3"/>
  <c r="I25" i="3"/>
  <c r="G21" i="3"/>
  <c r="Q20" i="3"/>
  <c r="H20" i="3"/>
  <c r="R20" i="3" s="1"/>
  <c r="F25" i="3"/>
  <c r="D26" i="3"/>
  <c r="K25" i="3"/>
  <c r="L24" i="3"/>
  <c r="H17" i="2"/>
  <c r="J24" i="2"/>
  <c r="E26" i="2"/>
  <c r="F25" i="2"/>
  <c r="N24" i="2"/>
  <c r="P24" i="2"/>
  <c r="F65" i="1"/>
  <c r="F70" i="1" s="1"/>
  <c r="B65" i="1"/>
  <c r="G60" i="1"/>
  <c r="F62" i="1" s="1"/>
  <c r="F66" i="1" s="1"/>
  <c r="L25" i="3" l="1"/>
  <c r="K26" i="3" s="1"/>
  <c r="N25" i="3"/>
  <c r="M26" i="3" s="1"/>
  <c r="F26" i="3"/>
  <c r="D27" i="3"/>
  <c r="H21" i="3"/>
  <c r="R21" i="3" s="1"/>
  <c r="Q21" i="3"/>
  <c r="G22" i="3"/>
  <c r="J25" i="3"/>
  <c r="I26" i="3" s="1"/>
  <c r="P25" i="3"/>
  <c r="O26" i="3" s="1"/>
  <c r="J25" i="2"/>
  <c r="I26" i="2" s="1"/>
  <c r="P25" i="2"/>
  <c r="O26" i="2" s="1"/>
  <c r="N25" i="2"/>
  <c r="M26" i="2" s="1"/>
  <c r="H18" i="2"/>
  <c r="E27" i="2"/>
  <c r="F26" i="2"/>
  <c r="D62" i="1"/>
  <c r="D66" i="1" s="1"/>
  <c r="C62" i="1"/>
  <c r="C66" i="1" s="1"/>
  <c r="E62" i="1"/>
  <c r="E66" i="1" s="1"/>
  <c r="G65" i="1"/>
  <c r="B70" i="1"/>
  <c r="B62" i="1"/>
  <c r="N26" i="3" l="1"/>
  <c r="M27" i="3" s="1"/>
  <c r="J26" i="3"/>
  <c r="I27" i="3" s="1"/>
  <c r="F27" i="3"/>
  <c r="D28" i="3"/>
  <c r="L26" i="3"/>
  <c r="K27" i="3" s="1"/>
  <c r="P26" i="3"/>
  <c r="O27" i="3" s="1"/>
  <c r="Q22" i="3"/>
  <c r="H22" i="3"/>
  <c r="R22" i="3" s="1"/>
  <c r="G23" i="3"/>
  <c r="J26" i="2"/>
  <c r="I27" i="2" s="1"/>
  <c r="N26" i="2"/>
  <c r="M27" i="2" s="1"/>
  <c r="P26" i="2"/>
  <c r="O27" i="2" s="1"/>
  <c r="E28" i="2"/>
  <c r="F27" i="2"/>
  <c r="G62" i="1"/>
  <c r="B66" i="1"/>
  <c r="G66" i="1" s="1"/>
  <c r="G70" i="1"/>
  <c r="B71" i="1" s="1"/>
  <c r="N27" i="3" l="1"/>
  <c r="M28" i="3"/>
  <c r="O28" i="3"/>
  <c r="P27" i="3"/>
  <c r="D29" i="3"/>
  <c r="F28" i="3"/>
  <c r="G24" i="3"/>
  <c r="H23" i="3"/>
  <c r="R23" i="3" s="1"/>
  <c r="Q23" i="3"/>
  <c r="K28" i="3"/>
  <c r="L27" i="3"/>
  <c r="J27" i="3"/>
  <c r="I28" i="3"/>
  <c r="P27" i="2"/>
  <c r="N27" i="2"/>
  <c r="E29" i="2"/>
  <c r="F28" i="2"/>
  <c r="J27" i="2"/>
  <c r="H19" i="2"/>
  <c r="B72" i="1"/>
  <c r="B74" i="1" s="1"/>
  <c r="E71" i="1"/>
  <c r="E72" i="1" s="1"/>
  <c r="E74" i="1" s="1"/>
  <c r="D71" i="1"/>
  <c r="D72" i="1" s="1"/>
  <c r="D74" i="1" s="1"/>
  <c r="C71" i="1"/>
  <c r="C72" i="1" s="1"/>
  <c r="C74" i="1" s="1"/>
  <c r="F71" i="1"/>
  <c r="F72" i="1" s="1"/>
  <c r="F74" i="1" s="1"/>
  <c r="K29" i="3" l="1"/>
  <c r="L28" i="3"/>
  <c r="M29" i="3"/>
  <c r="N28" i="3"/>
  <c r="J28" i="3"/>
  <c r="I29" i="3"/>
  <c r="F29" i="3"/>
  <c r="D30" i="3"/>
  <c r="G25" i="3"/>
  <c r="H24" i="3"/>
  <c r="R24" i="3" s="1"/>
  <c r="Q24" i="3"/>
  <c r="O29" i="3"/>
  <c r="P28" i="3"/>
  <c r="J28" i="2"/>
  <c r="P28" i="2"/>
  <c r="E30" i="2"/>
  <c r="F29" i="2"/>
  <c r="N28" i="2"/>
  <c r="D79" i="1"/>
  <c r="F76" i="1"/>
  <c r="F80" i="1" s="1"/>
  <c r="F86" i="1" s="1"/>
  <c r="F79" i="1"/>
  <c r="F88" i="1" s="1"/>
  <c r="G74" i="1"/>
  <c r="D76" i="1" s="1"/>
  <c r="D80" i="1" s="1"/>
  <c r="D86" i="1" s="1"/>
  <c r="B79" i="1"/>
  <c r="B76" i="1"/>
  <c r="E76" i="1"/>
  <c r="E80" i="1" s="1"/>
  <c r="E86" i="1" s="1"/>
  <c r="E79" i="1"/>
  <c r="C79" i="1"/>
  <c r="C76" i="1"/>
  <c r="C80" i="1" s="1"/>
  <c r="C86" i="1" s="1"/>
  <c r="G71" i="1"/>
  <c r="H25" i="3" l="1"/>
  <c r="R25" i="3" s="1"/>
  <c r="Q25" i="3"/>
  <c r="L29" i="3"/>
  <c r="K30" i="3"/>
  <c r="P29" i="3"/>
  <c r="O30" i="3"/>
  <c r="F30" i="3"/>
  <c r="D31" i="3"/>
  <c r="M30" i="3"/>
  <c r="N29" i="3"/>
  <c r="I30" i="3"/>
  <c r="J29" i="3"/>
  <c r="J29" i="2"/>
  <c r="N29" i="2"/>
  <c r="E31" i="2"/>
  <c r="F30" i="2"/>
  <c r="P29" i="2"/>
  <c r="H20" i="2"/>
  <c r="F93" i="1"/>
  <c r="D88" i="1"/>
  <c r="G76" i="1"/>
  <c r="B80" i="1"/>
  <c r="C88" i="1"/>
  <c r="G79" i="1"/>
  <c r="G87" i="1" s="1"/>
  <c r="E88" i="1"/>
  <c r="G26" i="3" l="1"/>
  <c r="Q26" i="3" s="1"/>
  <c r="N30" i="3"/>
  <c r="M31" i="3"/>
  <c r="D32" i="3"/>
  <c r="F31" i="3"/>
  <c r="K31" i="3"/>
  <c r="L30" i="3"/>
  <c r="J30" i="3"/>
  <c r="I31" i="3"/>
  <c r="O31" i="3"/>
  <c r="P30" i="3"/>
  <c r="J30" i="2"/>
  <c r="P30" i="2"/>
  <c r="N30" i="2"/>
  <c r="E32" i="2"/>
  <c r="F31" i="2"/>
  <c r="D93" i="1"/>
  <c r="C93" i="1"/>
  <c r="E93" i="1"/>
  <c r="B86" i="1"/>
  <c r="B88" i="1" s="1"/>
  <c r="G80" i="1"/>
  <c r="H26" i="3" l="1"/>
  <c r="R26" i="3" s="1"/>
  <c r="P31" i="3"/>
  <c r="O32" i="3" s="1"/>
  <c r="L31" i="3"/>
  <c r="K32" i="3" s="1"/>
  <c r="J31" i="3"/>
  <c r="I32" i="3" s="1"/>
  <c r="D33" i="3"/>
  <c r="F32" i="3"/>
  <c r="N31" i="3"/>
  <c r="M32" i="3" s="1"/>
  <c r="J31" i="2"/>
  <c r="I32" i="2" s="1"/>
  <c r="E33" i="2"/>
  <c r="F32" i="2"/>
  <c r="P31" i="2"/>
  <c r="O32" i="2" s="1"/>
  <c r="H21" i="2"/>
  <c r="N31" i="2"/>
  <c r="G88" i="1"/>
  <c r="B93" i="1"/>
  <c r="G27" i="3" l="1"/>
  <c r="G28" i="3" s="1"/>
  <c r="I33" i="3"/>
  <c r="J32" i="3"/>
  <c r="P32" i="3"/>
  <c r="O33" i="3"/>
  <c r="M33" i="3"/>
  <c r="N32" i="3"/>
  <c r="F33" i="3"/>
  <c r="D34" i="3"/>
  <c r="L32" i="3"/>
  <c r="K33" i="3"/>
  <c r="N32" i="2"/>
  <c r="E34" i="2"/>
  <c r="F33" i="2"/>
  <c r="J32" i="2"/>
  <c r="P32" i="2"/>
  <c r="G93" i="1"/>
  <c r="F90" i="1"/>
  <c r="F94" i="1" s="1"/>
  <c r="F98" i="1" s="1"/>
  <c r="F99" i="1" s="1"/>
  <c r="C90" i="1"/>
  <c r="C94" i="1" s="1"/>
  <c r="C98" i="1" s="1"/>
  <c r="C99" i="1" s="1"/>
  <c r="E90" i="1"/>
  <c r="E94" i="1" s="1"/>
  <c r="E98" i="1" s="1"/>
  <c r="E99" i="1" s="1"/>
  <c r="D90" i="1"/>
  <c r="D94" i="1" s="1"/>
  <c r="D98" i="1" s="1"/>
  <c r="D99" i="1" s="1"/>
  <c r="B90" i="1"/>
  <c r="Q27" i="3" l="1"/>
  <c r="H27" i="3"/>
  <c r="R27" i="3" s="1"/>
  <c r="K34" i="3"/>
  <c r="L33" i="3"/>
  <c r="M34" i="3"/>
  <c r="N33" i="3"/>
  <c r="I34" i="3"/>
  <c r="J33" i="3"/>
  <c r="P33" i="3"/>
  <c r="O34" i="3"/>
  <c r="F34" i="3"/>
  <c r="D35" i="3"/>
  <c r="Q28" i="3"/>
  <c r="H28" i="3"/>
  <c r="R28" i="3" s="1"/>
  <c r="G29" i="3"/>
  <c r="P33" i="2"/>
  <c r="E35" i="2"/>
  <c r="F35" i="2" s="1"/>
  <c r="F34" i="2"/>
  <c r="H22" i="2"/>
  <c r="N33" i="2"/>
  <c r="J33" i="2"/>
  <c r="B94" i="1"/>
  <c r="G90" i="1"/>
  <c r="Q29" i="3" l="1"/>
  <c r="H29" i="3"/>
  <c r="R29" i="3" s="1"/>
  <c r="G30" i="3"/>
  <c r="J34" i="3"/>
  <c r="I35" i="3"/>
  <c r="K35" i="3"/>
  <c r="L34" i="3"/>
  <c r="O35" i="3"/>
  <c r="P34" i="3"/>
  <c r="N34" i="3"/>
  <c r="M35" i="3"/>
  <c r="D36" i="3"/>
  <c r="F35" i="3"/>
  <c r="J34" i="2"/>
  <c r="P34" i="2"/>
  <c r="N34" i="2"/>
  <c r="B98" i="1"/>
  <c r="B99" i="1" s="1"/>
  <c r="G94" i="1"/>
  <c r="K36" i="3" l="1"/>
  <c r="L35" i="3"/>
  <c r="I36" i="3"/>
  <c r="J35" i="3"/>
  <c r="D37" i="3"/>
  <c r="F36" i="3"/>
  <c r="P35" i="3"/>
  <c r="O36" i="3"/>
  <c r="M36" i="3"/>
  <c r="N35" i="3"/>
  <c r="G31" i="3"/>
  <c r="H30" i="3"/>
  <c r="R30" i="3" s="1"/>
  <c r="Q30" i="3"/>
  <c r="N35" i="2"/>
  <c r="N36" i="2"/>
  <c r="M37" i="2" s="1"/>
  <c r="P35" i="2"/>
  <c r="P36" i="2" s="1"/>
  <c r="O37" i="2" s="1"/>
  <c r="P37" i="2" s="1"/>
  <c r="O38" i="2" s="1"/>
  <c r="J35" i="2"/>
  <c r="H23" i="2"/>
  <c r="G99" i="1"/>
  <c r="N36" i="3" l="1"/>
  <c r="M37" i="3" s="1"/>
  <c r="F37" i="3"/>
  <c r="D38" i="3"/>
  <c r="L36" i="3"/>
  <c r="K37" i="3" s="1"/>
  <c r="P36" i="3"/>
  <c r="O37" i="3" s="1"/>
  <c r="H31" i="3"/>
  <c r="R31" i="3" s="1"/>
  <c r="Q31" i="3"/>
  <c r="J36" i="3"/>
  <c r="I37" i="3" s="1"/>
  <c r="P38" i="2"/>
  <c r="O39" i="2"/>
  <c r="O40" i="2" s="1"/>
  <c r="O41" i="2" s="1"/>
  <c r="O42" i="2" s="1"/>
  <c r="N37" i="2"/>
  <c r="M38" i="2" s="1"/>
  <c r="M39" i="2" s="1"/>
  <c r="M40" i="2" s="1"/>
  <c r="M41" i="2" s="1"/>
  <c r="M42" i="2" s="1"/>
  <c r="J36" i="2"/>
  <c r="I37" i="2" s="1"/>
  <c r="C100" i="1"/>
  <c r="C101" i="1" s="1"/>
  <c r="C103" i="1" s="1"/>
  <c r="D100" i="1"/>
  <c r="D101" i="1" s="1"/>
  <c r="D103" i="1" s="1"/>
  <c r="E100" i="1"/>
  <c r="E101" i="1" s="1"/>
  <c r="E103" i="1" s="1"/>
  <c r="F100" i="1"/>
  <c r="F101" i="1" s="1"/>
  <c r="F103" i="1" s="1"/>
  <c r="B100" i="1"/>
  <c r="B101" i="1" s="1"/>
  <c r="B103" i="1" s="1"/>
  <c r="N37" i="3" l="1"/>
  <c r="M38" i="3" s="1"/>
  <c r="J37" i="3"/>
  <c r="I38" i="3" s="1"/>
  <c r="L37" i="3"/>
  <c r="K38" i="3" s="1"/>
  <c r="G32" i="3"/>
  <c r="P37" i="3"/>
  <c r="O38" i="3" s="1"/>
  <c r="F38" i="3"/>
  <c r="D39" i="3"/>
  <c r="P39" i="2"/>
  <c r="J37" i="2"/>
  <c r="I38" i="2" s="1"/>
  <c r="I39" i="2" s="1"/>
  <c r="I40" i="2" s="1"/>
  <c r="I41" i="2" s="1"/>
  <c r="I42" i="2" s="1"/>
  <c r="P40" i="2"/>
  <c r="N38" i="2"/>
  <c r="N39" i="2" s="1"/>
  <c r="N40" i="2" s="1"/>
  <c r="H24" i="2"/>
  <c r="E105" i="1"/>
  <c r="D105" i="1"/>
  <c r="B105" i="1"/>
  <c r="G103" i="1"/>
  <c r="F105" i="1" s="1"/>
  <c r="C105" i="1"/>
  <c r="K39" i="3" l="1"/>
  <c r="L38" i="3"/>
  <c r="O39" i="3"/>
  <c r="P38" i="3"/>
  <c r="N38" i="3"/>
  <c r="M39" i="3"/>
  <c r="J38" i="3"/>
  <c r="I39" i="3"/>
  <c r="D40" i="3"/>
  <c r="F39" i="3"/>
  <c r="H32" i="3"/>
  <c r="R32" i="3" s="1"/>
  <c r="G33" i="3"/>
  <c r="Q32" i="3"/>
  <c r="P41" i="2"/>
  <c r="N41" i="2"/>
  <c r="J38" i="2"/>
  <c r="G105" i="1"/>
  <c r="M40" i="3" l="1"/>
  <c r="N39" i="3"/>
  <c r="F40" i="3"/>
  <c r="D41" i="3"/>
  <c r="L39" i="3"/>
  <c r="K40" i="3"/>
  <c r="Q33" i="3"/>
  <c r="G34" i="3"/>
  <c r="H33" i="3"/>
  <c r="R33" i="3" s="1"/>
  <c r="I40" i="3"/>
  <c r="J39" i="3"/>
  <c r="O40" i="3"/>
  <c r="P39" i="3"/>
  <c r="P42" i="2"/>
  <c r="O43" i="2" s="1"/>
  <c r="N42" i="2"/>
  <c r="M43" i="2" s="1"/>
  <c r="N43" i="2" s="1"/>
  <c r="M44" i="2" s="1"/>
  <c r="N44" i="2" s="1"/>
  <c r="M45" i="2" s="1"/>
  <c r="M46" i="2" s="1"/>
  <c r="M47" i="2" s="1"/>
  <c r="M48" i="2" s="1"/>
  <c r="M49" i="2" s="1"/>
  <c r="J39" i="2"/>
  <c r="J40" i="2" s="1"/>
  <c r="H25" i="2"/>
  <c r="M41" i="3" l="1"/>
  <c r="N40" i="3"/>
  <c r="P40" i="3"/>
  <c r="O41" i="3"/>
  <c r="G35" i="3"/>
  <c r="Q34" i="3"/>
  <c r="H34" i="3"/>
  <c r="R34" i="3" s="1"/>
  <c r="D42" i="3"/>
  <c r="F41" i="3"/>
  <c r="I41" i="3"/>
  <c r="J40" i="3"/>
  <c r="L40" i="3"/>
  <c r="K41" i="3"/>
  <c r="N45" i="2"/>
  <c r="J41" i="2"/>
  <c r="P43" i="2"/>
  <c r="O44" i="2" s="1"/>
  <c r="P44" i="2" s="1"/>
  <c r="O45" i="2" s="1"/>
  <c r="G26" i="2"/>
  <c r="I42" i="3" l="1"/>
  <c r="J41" i="3"/>
  <c r="K42" i="3"/>
  <c r="L41" i="3"/>
  <c r="H35" i="3"/>
  <c r="R35" i="3" s="1"/>
  <c r="G36" i="3"/>
  <c r="Q35" i="3"/>
  <c r="N41" i="3"/>
  <c r="M42" i="3"/>
  <c r="F42" i="3"/>
  <c r="D43" i="3"/>
  <c r="O42" i="3"/>
  <c r="P41" i="3"/>
  <c r="P45" i="2"/>
  <c r="O46" i="2"/>
  <c r="O47" i="2" s="1"/>
  <c r="O48" i="2" s="1"/>
  <c r="O49" i="2" s="1"/>
  <c r="N46" i="2"/>
  <c r="N47" i="2" s="1"/>
  <c r="N48" i="2" s="1"/>
  <c r="J42" i="2"/>
  <c r="I43" i="2" s="1"/>
  <c r="J43" i="2" s="1"/>
  <c r="I44" i="2" s="1"/>
  <c r="J44" i="2" s="1"/>
  <c r="I45" i="2" s="1"/>
  <c r="I46" i="2" s="1"/>
  <c r="I47" i="2" s="1"/>
  <c r="I48" i="2" s="1"/>
  <c r="I49" i="2" s="1"/>
  <c r="H26" i="2"/>
  <c r="N42" i="3" l="1"/>
  <c r="M43" i="3" s="1"/>
  <c r="J42" i="3"/>
  <c r="I43" i="3" s="1"/>
  <c r="P42" i="3"/>
  <c r="O43" i="3" s="1"/>
  <c r="D44" i="3"/>
  <c r="F43" i="3"/>
  <c r="L42" i="3"/>
  <c r="K43" i="3" s="1"/>
  <c r="H36" i="3"/>
  <c r="R36" i="3" s="1"/>
  <c r="Q36" i="3"/>
  <c r="P47" i="2"/>
  <c r="P46" i="2"/>
  <c r="N49" i="2"/>
  <c r="M50" i="2" s="1"/>
  <c r="J45" i="2"/>
  <c r="P48" i="2"/>
  <c r="P49" i="2" s="1"/>
  <c r="O50" i="2" s="1"/>
  <c r="P50" i="2" s="1"/>
  <c r="O52" i="2" s="1"/>
  <c r="P52" i="2" s="1"/>
  <c r="G27" i="2"/>
  <c r="G37" i="3" l="1"/>
  <c r="Q37" i="3" s="1"/>
  <c r="P43" i="3"/>
  <c r="O44" i="3" s="1"/>
  <c r="L43" i="3"/>
  <c r="K44" i="3" s="1"/>
  <c r="N43" i="3"/>
  <c r="M44" i="3" s="1"/>
  <c r="J43" i="3"/>
  <c r="I44" i="3" s="1"/>
  <c r="F44" i="3"/>
  <c r="D45" i="3"/>
  <c r="N50" i="2"/>
  <c r="M52" i="2" s="1"/>
  <c r="N52" i="2" s="1"/>
  <c r="J46" i="2"/>
  <c r="J47" i="2" s="1"/>
  <c r="J48" i="2" s="1"/>
  <c r="J49" i="2" s="1"/>
  <c r="I50" i="2" s="1"/>
  <c r="H27" i="2"/>
  <c r="H37" i="3" l="1"/>
  <c r="R37" i="3" s="1"/>
  <c r="N44" i="3"/>
  <c r="M45" i="3" s="1"/>
  <c r="J44" i="3"/>
  <c r="I45" i="3" s="1"/>
  <c r="L44" i="3"/>
  <c r="K45" i="3" s="1"/>
  <c r="P44" i="3"/>
  <c r="O45" i="3" s="1"/>
  <c r="D46" i="3"/>
  <c r="F45" i="3"/>
  <c r="J50" i="2"/>
  <c r="I52" i="2" s="1"/>
  <c r="J52" i="2" s="1"/>
  <c r="H28" i="2"/>
  <c r="G38" i="3" l="1"/>
  <c r="G39" i="3" s="1"/>
  <c r="M46" i="3"/>
  <c r="N45" i="3"/>
  <c r="I46" i="3"/>
  <c r="J45" i="3"/>
  <c r="L45" i="3"/>
  <c r="K46" i="3"/>
  <c r="F46" i="3"/>
  <c r="D47" i="3"/>
  <c r="P45" i="3"/>
  <c r="O46" i="3"/>
  <c r="H29" i="2"/>
  <c r="H38" i="3" l="1"/>
  <c r="R38" i="3" s="1"/>
  <c r="Q38" i="3"/>
  <c r="O47" i="3"/>
  <c r="P46" i="3"/>
  <c r="K47" i="3"/>
  <c r="L46" i="3"/>
  <c r="N46" i="3"/>
  <c r="M47" i="3"/>
  <c r="D48" i="3"/>
  <c r="F47" i="3"/>
  <c r="G40" i="3"/>
  <c r="Q39" i="3"/>
  <c r="H39" i="3"/>
  <c r="R39" i="3" s="1"/>
  <c r="J46" i="3"/>
  <c r="I47" i="3"/>
  <c r="H30" i="2"/>
  <c r="I48" i="3" l="1"/>
  <c r="J47" i="3"/>
  <c r="H40" i="3"/>
  <c r="R40" i="3" s="1"/>
  <c r="G41" i="3"/>
  <c r="Q40" i="3"/>
  <c r="O48" i="3"/>
  <c r="P47" i="3"/>
  <c r="D49" i="3"/>
  <c r="F48" i="3"/>
  <c r="K48" i="3"/>
  <c r="L47" i="3"/>
  <c r="N47" i="3"/>
  <c r="M48" i="3"/>
  <c r="H31" i="2"/>
  <c r="G32" i="2" s="1"/>
  <c r="L48" i="3" l="1"/>
  <c r="K49" i="3"/>
  <c r="P48" i="3"/>
  <c r="O49" i="3"/>
  <c r="M49" i="3"/>
  <c r="N48" i="3"/>
  <c r="I49" i="3"/>
  <c r="J48" i="3"/>
  <c r="F49" i="3"/>
  <c r="D50" i="3"/>
  <c r="F50" i="3" s="1"/>
  <c r="Q41" i="3"/>
  <c r="H41" i="3"/>
  <c r="R41" i="3" s="1"/>
  <c r="G42" i="3"/>
  <c r="H32" i="2"/>
  <c r="H42" i="3" l="1"/>
  <c r="R42" i="3" s="1"/>
  <c r="Q42" i="3"/>
  <c r="N49" i="3"/>
  <c r="M50" i="3" s="1"/>
  <c r="N50" i="3" s="1"/>
  <c r="M59" i="3" s="1"/>
  <c r="N59" i="3" s="1"/>
  <c r="P49" i="3"/>
  <c r="O50" i="3" s="1"/>
  <c r="P50" i="3" s="1"/>
  <c r="O59" i="3" s="1"/>
  <c r="P59" i="3" s="1"/>
  <c r="J49" i="3"/>
  <c r="I50" i="3" s="1"/>
  <c r="J50" i="3" s="1"/>
  <c r="I59" i="3" s="1"/>
  <c r="J59" i="3" s="1"/>
  <c r="L49" i="3"/>
  <c r="K50" i="3" s="1"/>
  <c r="L50" i="3" s="1"/>
  <c r="K59" i="3" s="1"/>
  <c r="L59" i="3" s="1"/>
  <c r="H33" i="2"/>
  <c r="G43" i="3" l="1"/>
  <c r="H34" i="2"/>
  <c r="H43" i="3" l="1"/>
  <c r="R43" i="3" s="1"/>
  <c r="Q43" i="3"/>
  <c r="H35" i="2"/>
  <c r="Q12" i="2"/>
  <c r="L12" i="2"/>
  <c r="R12" i="2" s="1"/>
  <c r="G44" i="3" l="1"/>
  <c r="H44" i="3" s="1"/>
  <c r="R44" i="3" s="1"/>
  <c r="H36" i="2"/>
  <c r="Q13" i="2"/>
  <c r="L13" i="2"/>
  <c r="R13" i="2" s="1"/>
  <c r="G45" i="3" l="1"/>
  <c r="H45" i="3" s="1"/>
  <c r="R45" i="3" s="1"/>
  <c r="Q44" i="3"/>
  <c r="G37" i="2"/>
  <c r="L14" i="2"/>
  <c r="R14" i="2" s="1"/>
  <c r="Q14" i="2"/>
  <c r="K15" i="2"/>
  <c r="K16" i="2" s="1"/>
  <c r="K17" i="2" s="1"/>
  <c r="K18" i="2" s="1"/>
  <c r="K19" i="2" s="1"/>
  <c r="K20" i="2" s="1"/>
  <c r="K21" i="2" s="1"/>
  <c r="K22" i="2" s="1"/>
  <c r="K23" i="2" s="1"/>
  <c r="K24" i="2" s="1"/>
  <c r="K25" i="2" s="1"/>
  <c r="G46" i="3" l="1"/>
  <c r="G47" i="3" s="1"/>
  <c r="Q45" i="3"/>
  <c r="H37" i="2"/>
  <c r="G38" i="2" s="1"/>
  <c r="G39" i="2" s="1"/>
  <c r="G40" i="2" s="1"/>
  <c r="G41" i="2" s="1"/>
  <c r="G42" i="2" s="1"/>
  <c r="Q15" i="2"/>
  <c r="L15" i="2"/>
  <c r="R15" i="2" s="1"/>
  <c r="Q46" i="3" l="1"/>
  <c r="H46" i="3"/>
  <c r="R46" i="3" s="1"/>
  <c r="Q47" i="3"/>
  <c r="G48" i="3"/>
  <c r="H47" i="3"/>
  <c r="R47" i="3" s="1"/>
  <c r="H38" i="2"/>
  <c r="L16" i="2"/>
  <c r="R16" i="2" s="1"/>
  <c r="Q16" i="2"/>
  <c r="H48" i="3" l="1"/>
  <c r="R48" i="3" s="1"/>
  <c r="Q48" i="3"/>
  <c r="G49" i="3"/>
  <c r="H39" i="2"/>
  <c r="L17" i="2"/>
  <c r="R17" i="2" s="1"/>
  <c r="Q17" i="2"/>
  <c r="Q49" i="3" l="1"/>
  <c r="H49" i="3"/>
  <c r="R49" i="3" s="1"/>
  <c r="H40" i="2"/>
  <c r="Q18" i="2"/>
  <c r="L18" i="2"/>
  <c r="R18" i="2" s="1"/>
  <c r="G50" i="3" l="1"/>
  <c r="L19" i="2"/>
  <c r="R19" i="2" s="1"/>
  <c r="Q19" i="2"/>
  <c r="Q50" i="3" l="1"/>
  <c r="H50" i="3"/>
  <c r="L20" i="2"/>
  <c r="R20" i="2" s="1"/>
  <c r="Q20" i="2"/>
  <c r="R50" i="3" l="1"/>
  <c r="G59" i="3"/>
  <c r="L21" i="2"/>
  <c r="R21" i="2" s="1"/>
  <c r="Q21" i="2"/>
  <c r="H59" i="3" l="1"/>
  <c r="R59" i="3" s="1"/>
  <c r="Q59" i="3"/>
  <c r="Q22" i="2"/>
  <c r="L22" i="2"/>
  <c r="R22" i="2" s="1"/>
  <c r="L23" i="2" l="1"/>
  <c r="R23" i="2" s="1"/>
  <c r="Q23" i="2" l="1"/>
  <c r="Q24" i="2"/>
  <c r="L24" i="2" l="1"/>
  <c r="R24" i="2" s="1"/>
  <c r="Q25" i="2" l="1"/>
  <c r="L25" i="2" l="1"/>
  <c r="R25" i="2" s="1"/>
  <c r="K26" i="2" l="1"/>
  <c r="Q26" i="2" l="1"/>
  <c r="L26" i="2"/>
  <c r="R26" i="2" s="1"/>
  <c r="K27" i="2" l="1"/>
  <c r="L27" i="2" l="1"/>
  <c r="R27" i="2" s="1"/>
  <c r="Q27" i="2"/>
  <c r="Q28" i="2"/>
  <c r="L28" i="2" l="1"/>
  <c r="R28" i="2" s="1"/>
  <c r="Q29" i="2" l="1"/>
  <c r="L29" i="2" l="1"/>
  <c r="R29" i="2" l="1"/>
  <c r="Q30" i="2" l="1"/>
  <c r="L30" i="2"/>
  <c r="R30" i="2" s="1"/>
  <c r="Q31" i="2" l="1"/>
  <c r="L31" i="2"/>
  <c r="R31" i="2" l="1"/>
  <c r="K32" i="2"/>
  <c r="L32" i="2" l="1"/>
  <c r="R32" i="2" s="1"/>
  <c r="Q32" i="2"/>
  <c r="L33" i="2" l="1"/>
  <c r="R33" i="2" s="1"/>
  <c r="Q33" i="2"/>
  <c r="L34" i="2" l="1"/>
  <c r="R34" i="2" s="1"/>
  <c r="Q34" i="2"/>
  <c r="L35" i="2" l="1"/>
  <c r="R35" i="2" s="1"/>
  <c r="Q35" i="2"/>
  <c r="L36" i="2" l="1"/>
  <c r="R36" i="2" s="1"/>
  <c r="K37" i="2"/>
  <c r="Q36" i="2"/>
  <c r="L37" i="2" l="1"/>
  <c r="Q37" i="2"/>
  <c r="K38" i="2" l="1"/>
  <c r="K39" i="2" s="1"/>
  <c r="K40" i="2" s="1"/>
  <c r="K41" i="2" s="1"/>
  <c r="K42" i="2" s="1"/>
  <c r="R37" i="2"/>
  <c r="L38" i="2" l="1"/>
  <c r="Q38" i="2"/>
  <c r="R38" i="2" l="1"/>
  <c r="L39" i="2" l="1"/>
  <c r="R39" i="2" s="1"/>
  <c r="Q39" i="2"/>
  <c r="L40" i="2" l="1"/>
  <c r="R40" i="2" s="1"/>
  <c r="Q40" i="2"/>
  <c r="L41" i="2" l="1"/>
  <c r="L42" i="2" l="1"/>
  <c r="K43" i="2" l="1"/>
  <c r="L43" i="2" l="1"/>
  <c r="K44" i="2" l="1"/>
  <c r="L44" i="2" s="1"/>
  <c r="K45" i="2" l="1"/>
  <c r="K46" i="2" s="1"/>
  <c r="K47" i="2" s="1"/>
  <c r="K48" i="2" s="1"/>
  <c r="K49" i="2" s="1"/>
  <c r="L45" i="2" l="1"/>
  <c r="L46" i="2" l="1"/>
  <c r="L47" i="2" l="1"/>
  <c r="L48" i="2" l="1"/>
  <c r="L49" i="2" l="1"/>
  <c r="K50" i="2" l="1"/>
  <c r="L50" i="2" s="1"/>
  <c r="K52" i="2" s="1"/>
  <c r="L52" i="2" s="1"/>
  <c r="Q41" i="2" l="1"/>
  <c r="H41" i="2"/>
  <c r="R41" i="2"/>
  <c r="H42" i="2"/>
  <c r="R42" i="2" l="1"/>
  <c r="G43" i="2"/>
  <c r="Q42" i="2"/>
  <c r="H43" i="2" l="1"/>
  <c r="R43" i="2" s="1"/>
  <c r="Q43" i="2"/>
  <c r="G44" i="2" l="1"/>
  <c r="Q44" i="2" l="1"/>
  <c r="H44" i="2"/>
  <c r="R44" i="2" s="1"/>
  <c r="G45" i="2" l="1"/>
  <c r="G46" i="2" s="1"/>
  <c r="G47" i="2" s="1"/>
  <c r="G48" i="2" s="1"/>
  <c r="G49" i="2" s="1"/>
  <c r="H45" i="2" l="1"/>
  <c r="R45" i="2" s="1"/>
  <c r="Q45" i="2"/>
  <c r="H46" i="2" l="1"/>
  <c r="R46" i="2" s="1"/>
  <c r="Q46" i="2"/>
  <c r="H47" i="2" l="1"/>
  <c r="Q47" i="2" l="1"/>
  <c r="R47" i="2"/>
  <c r="Q48" i="2"/>
  <c r="H48" i="2" l="1"/>
  <c r="R48" i="2" s="1"/>
  <c r="H49" i="2" l="1"/>
  <c r="R49" i="2" s="1"/>
  <c r="Q49" i="2"/>
  <c r="G50" i="2" l="1"/>
  <c r="H50" i="2"/>
  <c r="Q50" i="2"/>
  <c r="R50" i="2" l="1"/>
  <c r="G52" i="2"/>
  <c r="Q52" i="2" l="1"/>
  <c r="H52" i="2"/>
  <c r="R52" i="2" s="1"/>
</calcChain>
</file>

<file path=xl/sharedStrings.xml><?xml version="1.0" encoding="utf-8"?>
<sst xmlns="http://schemas.openxmlformats.org/spreadsheetml/2006/main" count="334" uniqueCount="122">
  <si>
    <t>LES BUCKLEY</t>
  </si>
  <si>
    <t>MARY LINDA BUCKLEY</t>
  </si>
  <si>
    <t>MARY LINDA BUCKLEY - Uncrystallised</t>
  </si>
  <si>
    <t>PAUL BUCKLEY</t>
  </si>
  <si>
    <t>Transfers In</t>
  </si>
  <si>
    <t>Employer contributions</t>
  </si>
  <si>
    <t>Lump Sum Payments</t>
  </si>
  <si>
    <t>Investment Income</t>
  </si>
  <si>
    <t>Scheme Expenses</t>
  </si>
  <si>
    <t>Change in Value of Investments</t>
  </si>
  <si>
    <t>Share of Fund Split at 31/12/12</t>
  </si>
  <si>
    <t>NIL</t>
  </si>
  <si>
    <t>as at 31 March 2013</t>
  </si>
  <si>
    <t>Share of fund split as at 31/03/13</t>
  </si>
  <si>
    <t>nil</t>
  </si>
  <si>
    <t>ML BUCKLEY</t>
  </si>
  <si>
    <t>ML BUCKLEY - Uncrystallised</t>
  </si>
  <si>
    <t>MICHELLE KING</t>
  </si>
  <si>
    <t>Share of Fund Split at 31/03/2014</t>
  </si>
  <si>
    <t>Updated Fund Split</t>
  </si>
  <si>
    <t>as at 31 March 2015</t>
  </si>
  <si>
    <t>Share of fund split as at 31/03/15</t>
  </si>
  <si>
    <t>Share of Fund Split at 31/03/2015</t>
  </si>
  <si>
    <t>Pension Payments</t>
  </si>
  <si>
    <t>as at 31 March 2016</t>
  </si>
  <si>
    <t>Share of fund split as at 31/03/16</t>
  </si>
  <si>
    <t>Share of Fund Split at 31/03/2016</t>
  </si>
  <si>
    <t>Note : inclusive of tax - split proportionally between two members on amounts received</t>
  </si>
  <si>
    <t>Split after payments</t>
  </si>
  <si>
    <t>% split</t>
  </si>
  <si>
    <t>Fund Value as at 9th December 2016</t>
  </si>
  <si>
    <t>as at 9th December 2016</t>
  </si>
  <si>
    <t>Share of fund split as at 9/12/2016</t>
  </si>
  <si>
    <t>Share of Fund Split at 09/12/16</t>
  </si>
  <si>
    <t>Crystallisation of £192,067.12, for a TFC payment of £48,016.78</t>
  </si>
  <si>
    <t>as at 20/1/17</t>
  </si>
  <si>
    <t>Share of fund split as at 20/1/17</t>
  </si>
  <si>
    <t>Share of Fund Split at 20/01/17</t>
  </si>
  <si>
    <t>% Split</t>
  </si>
  <si>
    <t>Fund value as at 28/11/17</t>
  </si>
  <si>
    <t>as at 28/11/17</t>
  </si>
  <si>
    <t>Share of fund split as at 28/11/17</t>
  </si>
  <si>
    <t>Date</t>
  </si>
  <si>
    <t>Investments Value</t>
  </si>
  <si>
    <t>Running Total</t>
  </si>
  <si>
    <t>Total Value Check</t>
  </si>
  <si>
    <t>% Check</t>
  </si>
  <si>
    <t>Mary Crys</t>
  </si>
  <si>
    <t>Mary Crys %</t>
  </si>
  <si>
    <t>Mary Uncrys</t>
  </si>
  <si>
    <t>Mary Uncrys %</t>
  </si>
  <si>
    <t>Paul</t>
  </si>
  <si>
    <t>Paul %</t>
  </si>
  <si>
    <t>Michelle</t>
  </si>
  <si>
    <t>Michelle %</t>
  </si>
  <si>
    <t>Les</t>
  </si>
  <si>
    <t>Les %</t>
  </si>
  <si>
    <t>Details</t>
  </si>
  <si>
    <t>Main Cash Adjustments</t>
  </si>
  <si>
    <t>Main Cash Running Total</t>
  </si>
  <si>
    <t>Les backdated drawdown (2 payments)</t>
  </si>
  <si>
    <t>Mary backdated drawdown (2 payments)</t>
  </si>
  <si>
    <t>Interest Payment</t>
  </si>
  <si>
    <t>Les drawdown</t>
  </si>
  <si>
    <t>Mary drawdown</t>
  </si>
  <si>
    <t>Brought Forward &amp; readjusted for valuations</t>
  </si>
  <si>
    <t>Special Piping Loan Repayment</t>
  </si>
  <si>
    <t>Mary PCLS</t>
  </si>
  <si>
    <t>HMRC Income Tax</t>
  </si>
  <si>
    <t>Cheque</t>
  </si>
  <si>
    <t>Les Drawdown</t>
  </si>
  <si>
    <t>Les HMRC Payment</t>
  </si>
  <si>
    <t>Les Drawdown Adjustment</t>
  </si>
  <si>
    <t>Mary HMRC Payment</t>
  </si>
  <si>
    <t>Tilney Monthly Investments</t>
  </si>
  <si>
    <t>Payroll Admin Fee</t>
  </si>
  <si>
    <t>GDPR Fee</t>
  </si>
  <si>
    <t>SPM Loan Repayment</t>
  </si>
  <si>
    <t>Readjustment for  new valuation of assets</t>
  </si>
  <si>
    <t>Assets:</t>
  </si>
  <si>
    <t>Lloyds TSB</t>
  </si>
  <si>
    <t>Investment Portfolio</t>
  </si>
  <si>
    <t>Property Portfolio</t>
  </si>
  <si>
    <t>Loan to SPM</t>
  </si>
  <si>
    <t>AIB Account</t>
  </si>
  <si>
    <t>Total</t>
  </si>
  <si>
    <t>Grand Total</t>
  </si>
  <si>
    <t>(this is the figure that should be outstanding, according to the repayment schedule)</t>
  </si>
  <si>
    <t>Internal Fund Movement (loan repayment?)</t>
  </si>
  <si>
    <t>ANN MICHELLE KING</t>
  </si>
  <si>
    <t>Mary Buckley Net July Pension</t>
  </si>
  <si>
    <t>Les Buckley HMRC July PAYE</t>
  </si>
  <si>
    <t>Mary Buckley HMRC July PAYE</t>
  </si>
  <si>
    <t>Les Buckley Net July Pension</t>
  </si>
  <si>
    <t>Tilney Monthly Investment</t>
  </si>
  <si>
    <t>Mary Aug Net Pension Payment</t>
  </si>
  <si>
    <t>Leslie Aug HMRC PAYE</t>
  </si>
  <si>
    <t>Mary Aug HMRC PAYE</t>
  </si>
  <si>
    <t>Leslie Aug Net Pension Payment</t>
  </si>
  <si>
    <t>Internal movement of funds</t>
  </si>
  <si>
    <t>Les PAYE HMRC Payment Sept</t>
  </si>
  <si>
    <t>Mary PAYE HMRC Payment Sept</t>
  </si>
  <si>
    <t>Mary Net Pension Sept</t>
  </si>
  <si>
    <t>Les Net Pension Sept</t>
  </si>
  <si>
    <t>TILNEY Monthly Investment</t>
  </si>
  <si>
    <t>Les Net Pension Income</t>
  </si>
  <si>
    <t>Mary Linda Net Pension Income</t>
  </si>
  <si>
    <t>Mary Linda HMRC PAYE Payment</t>
  </si>
  <si>
    <t>Les HMRC PAYE Payment</t>
  </si>
  <si>
    <t>TILNEY INVESTMENT</t>
  </si>
  <si>
    <t>Les HMRC PAYE</t>
  </si>
  <si>
    <t>Mary Linda HMRC PAYE</t>
  </si>
  <si>
    <t>Internal Movement of Funds</t>
  </si>
  <si>
    <t>PaulBuckleysalarysacrifice2018</t>
  </si>
  <si>
    <t>Paul / Michelle Contributions</t>
  </si>
  <si>
    <t>Leslie Net Pension Income</t>
  </si>
  <si>
    <t>Leslie HMRC PAYE</t>
  </si>
  <si>
    <t>Mary Linda HRMC PAYE</t>
  </si>
  <si>
    <t>PP Inv 6857 PAYE Annual Admin</t>
  </si>
  <si>
    <t>Michelle - Tilney Investment</t>
  </si>
  <si>
    <t>Barclays Petroleo Bras.Shares 4450</t>
  </si>
  <si>
    <t>Investment Portfolio BIBUCSPM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</si>
</sst>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&quot;£&quot;#,##0.00"/>
    <numFmt numFmtId="165" formatCode="0.000%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164" fontId="0" fillId="0" borderId="0" xfId="0" applyNumberFormat="1"/>
    <xf numFmtId="165" fontId="0" fillId="0" borderId="0" xfId="0" applyNumberFormat="1"/>
    <xf numFmtId="14" fontId="0" fillId="0" borderId="0" xfId="0" applyNumberFormat="1"/>
    <xf numFmtId="164" fontId="0" fillId="2" borderId="0" xfId="0" applyNumberFormat="1" applyFill="1"/>
    <xf numFmtId="14" fontId="0" fillId="2" borderId="0" xfId="0" applyNumberFormat="1" applyFill="1"/>
    <xf numFmtId="0" fontId="0" fillId="2" borderId="0" xfId="0" applyFill="1"/>
    <xf numFmtId="165" fontId="0" fillId="2" borderId="0" xfId="0" applyNumberFormat="1" applyFill="1"/>
    <xf numFmtId="0" fontId="0" fillId="0" borderId="0" xfId="0" applyFill="1"/>
    <xf numFmtId="164" fontId="0" fillId="0" borderId="0" xfId="0" applyNumberFormat="1" applyFill="1"/>
    <xf numFmtId="165" fontId="0" fillId="0" borderId="0" xfId="0" applyNumberFormat="1" applyFill="1"/>
    <xf numFmtId="4" fontId="0" fillId="0" borderId="0" xfId="0" applyNumberFormat="1"/>
    <xf numFmtId="4" fontId="0" fillId="2" borderId="0" xfId="0" applyNumberFormat="1" applyFill="1"/>
    <xf numFmtId="9" fontId="0" fillId="0" borderId="0" xfId="2" applyFont="1"/>
    <xf numFmtId="9" fontId="0" fillId="2" borderId="0" xfId="2" applyFont="1" applyFill="1"/>
    <xf numFmtId="9" fontId="0" fillId="0" borderId="0" xfId="2" applyFont="1" applyFill="1"/>
    <xf numFmtId="44" fontId="0" fillId="0" borderId="0" xfId="1" applyFont="1"/>
    <xf numFmtId="44" fontId="0" fillId="2" borderId="0" xfId="1" applyFont="1" applyFill="1"/>
    <xf numFmtId="44" fontId="0" fillId="0" borderId="0" xfId="1" applyFont="1" applyFill="1"/>
    <xf numFmtId="165" fontId="0" fillId="0" borderId="0" xfId="2" applyNumberFormat="1" applyFont="1"/>
    <xf numFmtId="165" fontId="0" fillId="2" borderId="0" xfId="2" applyNumberFormat="1" applyFont="1" applyFill="1"/>
    <xf numFmtId="165" fontId="0" fillId="0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05"/>
  <sheetViews>
    <sheetView topLeftCell="A79" workbookViewId="0">
      <selection activeCell="K13" sqref="K13"/>
    </sheetView>
  </sheetViews>
  <sheetFormatPr defaultRowHeight="15" x14ac:dyDescent="0.25"/>
  <cols>
    <col min="1" max="1" width="45.42578125" customWidth="1"/>
    <col min="2" max="2" width="18.28515625" customWidth="1"/>
    <col min="3" max="3" width="24.28515625" customWidth="1"/>
    <col min="4" max="4" width="28.5703125" customWidth="1"/>
    <col min="5" max="6" width="18.28515625" customWidth="1"/>
    <col min="7" max="7" width="18.5703125" customWidth="1"/>
  </cols>
  <sheetData>
    <row r="2" spans="1:7" x14ac:dyDescent="0.25">
      <c r="B2" t="s">
        <v>0</v>
      </c>
      <c r="C2" t="s">
        <v>1</v>
      </c>
      <c r="D2" t="s">
        <v>2</v>
      </c>
      <c r="E2" t="s">
        <v>3</v>
      </c>
      <c r="F2" t="s">
        <v>89</v>
      </c>
    </row>
    <row r="3" spans="1:7" x14ac:dyDescent="0.25">
      <c r="B3">
        <v>827028.46</v>
      </c>
    </row>
    <row r="4" spans="1:7" x14ac:dyDescent="0.25">
      <c r="B4">
        <v>841510</v>
      </c>
    </row>
    <row r="5" spans="1:7" x14ac:dyDescent="0.25">
      <c r="B5">
        <v>85248.03</v>
      </c>
    </row>
    <row r="6" spans="1:7" x14ac:dyDescent="0.25">
      <c r="A6" t="s">
        <v>4</v>
      </c>
      <c r="B6">
        <f>SUM(B3:B5)-802</f>
        <v>1752984.49</v>
      </c>
      <c r="C6">
        <v>660852</v>
      </c>
      <c r="E6">
        <v>62480</v>
      </c>
      <c r="G6">
        <f>SUM(B6:E6)</f>
        <v>2476316.4900000002</v>
      </c>
    </row>
    <row r="7" spans="1:7" x14ac:dyDescent="0.25">
      <c r="B7">
        <f>B6/2476316</f>
        <v>0.70790015894578884</v>
      </c>
      <c r="C7">
        <f>C6/2476316</f>
        <v>0.26686901025555704</v>
      </c>
      <c r="E7">
        <f>E6/2476316</f>
        <v>2.5231028673238794E-2</v>
      </c>
    </row>
    <row r="8" spans="1:7" x14ac:dyDescent="0.25">
      <c r="A8" t="s">
        <v>5</v>
      </c>
      <c r="B8">
        <v>0</v>
      </c>
      <c r="C8">
        <v>0</v>
      </c>
      <c r="E8">
        <f>(50000*0.8)+4000</f>
        <v>44000</v>
      </c>
      <c r="F8">
        <v>10000</v>
      </c>
      <c r="G8">
        <f>SUM(E8:F8)</f>
        <v>54000</v>
      </c>
    </row>
    <row r="9" spans="1:7" x14ac:dyDescent="0.25">
      <c r="A9" t="s">
        <v>6</v>
      </c>
      <c r="B9">
        <v>-428131</v>
      </c>
      <c r="C9">
        <v>-161326</v>
      </c>
      <c r="G9">
        <f>SUM(B9:E9)</f>
        <v>-589457</v>
      </c>
    </row>
    <row r="10" spans="1:7" x14ac:dyDescent="0.25">
      <c r="A10" t="s">
        <v>7</v>
      </c>
      <c r="B10">
        <f>B7*$G$10</f>
        <v>27682.435715575073</v>
      </c>
      <c r="C10">
        <f>C7*$G$10</f>
        <v>10435.912646043558</v>
      </c>
      <c r="E10">
        <f>E7*$G$10</f>
        <v>986.65937626700304</v>
      </c>
      <c r="G10">
        <v>39105</v>
      </c>
    </row>
    <row r="11" spans="1:7" x14ac:dyDescent="0.25">
      <c r="A11" t="s">
        <v>8</v>
      </c>
      <c r="B11">
        <f>B7*$G$11</f>
        <v>-2852.8376405515291</v>
      </c>
      <c r="C11">
        <f>C7*$G$11</f>
        <v>-1075.4821113298949</v>
      </c>
      <c r="E11">
        <f>E7*$G$11</f>
        <v>-101.68104555315234</v>
      </c>
      <c r="G11">
        <v>-4030</v>
      </c>
    </row>
    <row r="12" spans="1:7" x14ac:dyDescent="0.25">
      <c r="A12" t="s">
        <v>9</v>
      </c>
      <c r="B12">
        <f>B7*$G$12</f>
        <v>-17541.765938676646</v>
      </c>
      <c r="C12">
        <f>C7*$G$12</f>
        <v>-6613.0140741327032</v>
      </c>
      <c r="E12">
        <f>E7*$G$12</f>
        <v>-625.22489052285732</v>
      </c>
      <c r="G12">
        <v>-24780</v>
      </c>
    </row>
    <row r="14" spans="1:7" x14ac:dyDescent="0.25">
      <c r="A14" t="s">
        <v>10</v>
      </c>
      <c r="B14">
        <f>B6+B9+B10+B11+B12</f>
        <v>1332141.3221363467</v>
      </c>
      <c r="C14">
        <f>C6+C9+C10+C11+C12</f>
        <v>502273.41646058095</v>
      </c>
      <c r="E14">
        <f>E6+E9+E10+E11+E12+E8</f>
        <v>106739.75344019099</v>
      </c>
      <c r="F14">
        <f>F6+F9+F10+F11+F12+F8</f>
        <v>10000</v>
      </c>
      <c r="G14">
        <f>SUM(G6:G13)</f>
        <v>1951154.4900000002</v>
      </c>
    </row>
    <row r="15" spans="1:7" x14ac:dyDescent="0.25">
      <c r="B15">
        <f>B14/$G$14</f>
        <v>0.68274517930988976</v>
      </c>
      <c r="C15">
        <f>C14/$G$14</f>
        <v>0.25742370429139155</v>
      </c>
      <c r="E15">
        <f>E14/$G$14</f>
        <v>5.4705946652225876E-2</v>
      </c>
      <c r="F15">
        <f>F14/$G$14</f>
        <v>5.1251707905507777E-3</v>
      </c>
    </row>
    <row r="16" spans="1:7" x14ac:dyDescent="0.25">
      <c r="A16" t="s">
        <v>5</v>
      </c>
      <c r="D16">
        <f>G16*0.4</f>
        <v>28000</v>
      </c>
      <c r="E16">
        <f>G16*0.5</f>
        <v>35000</v>
      </c>
      <c r="F16">
        <f>G16*0.1</f>
        <v>7000</v>
      </c>
      <c r="G16">
        <v>70000</v>
      </c>
    </row>
    <row r="17" spans="1:8" x14ac:dyDescent="0.25">
      <c r="A17" t="s">
        <v>6</v>
      </c>
      <c r="B17" t="s">
        <v>11</v>
      </c>
      <c r="C17" t="s">
        <v>11</v>
      </c>
      <c r="D17" t="s">
        <v>11</v>
      </c>
      <c r="E17" t="s">
        <v>11</v>
      </c>
      <c r="F17" t="s">
        <v>11</v>
      </c>
    </row>
    <row r="18" spans="1:8" x14ac:dyDescent="0.25">
      <c r="A18" t="s">
        <v>7</v>
      </c>
      <c r="B18">
        <f>$B$15*G18</f>
        <v>130338.10296579589</v>
      </c>
      <c r="C18">
        <f>$C$15*G18</f>
        <v>49142.957420339524</v>
      </c>
      <c r="D18">
        <f>$B$15*I18</f>
        <v>0</v>
      </c>
      <c r="E18">
        <f>$E$15*G18</f>
        <v>10443.529333749877</v>
      </c>
      <c r="F18">
        <f>$F$15*G18</f>
        <v>978.41047942851515</v>
      </c>
      <c r="G18">
        <v>190903</v>
      </c>
    </row>
    <row r="19" spans="1:8" x14ac:dyDescent="0.25">
      <c r="A19" t="s">
        <v>8</v>
      </c>
      <c r="B19">
        <f>$B$15*G19</f>
        <v>-32949.282353495277</v>
      </c>
      <c r="C19">
        <f>$C$15*G19</f>
        <v>-12423.267969102557</v>
      </c>
      <c r="D19">
        <f>$B$15*I19</f>
        <v>0</v>
      </c>
      <c r="E19">
        <f>$E$15*G19</f>
        <v>-2640.1089854364209</v>
      </c>
      <c r="F19">
        <f>$F$15*G19</f>
        <v>-247.34074235198054</v>
      </c>
      <c r="G19">
        <v>-48260</v>
      </c>
    </row>
    <row r="20" spans="1:8" x14ac:dyDescent="0.25">
      <c r="A20" t="s">
        <v>9</v>
      </c>
      <c r="B20">
        <f>$B$15*G20</f>
        <v>21052.44760402045</v>
      </c>
      <c r="C20">
        <f>$C$15*G20</f>
        <v>7937.6599218250585</v>
      </c>
      <c r="D20">
        <f>$B$15*I20</f>
        <v>0</v>
      </c>
      <c r="E20">
        <f>$E$15*G20</f>
        <v>1686.8578650213849</v>
      </c>
      <c r="F20">
        <f>$F$15*G20</f>
        <v>158.03464132663322</v>
      </c>
      <c r="G20">
        <v>30835</v>
      </c>
    </row>
    <row r="22" spans="1:8" x14ac:dyDescent="0.25">
      <c r="A22" t="s">
        <v>12</v>
      </c>
      <c r="B22">
        <f>B20+B19+B18+B14</f>
        <v>1450582.5903526677</v>
      </c>
      <c r="C22">
        <f>C20+C19+C18+C14</f>
        <v>546930.76583364303</v>
      </c>
      <c r="D22">
        <f>D20+D19+D18+D14+D16</f>
        <v>28000</v>
      </c>
      <c r="E22">
        <f>E20+E19+E18+E14+E16</f>
        <v>151230.03165352583</v>
      </c>
      <c r="F22">
        <f>F20+F19+F18+F14+F16</f>
        <v>17889.104378403168</v>
      </c>
      <c r="G22">
        <f>SUM(B22:F22)</f>
        <v>2194632.4922182397</v>
      </c>
    </row>
    <row r="24" spans="1:8" x14ac:dyDescent="0.25">
      <c r="A24" t="s">
        <v>13</v>
      </c>
      <c r="B24">
        <f>B22/$G$22</f>
        <v>0.66096833774956165</v>
      </c>
      <c r="C24">
        <f>C22/$G$22</f>
        <v>0.24921291732121811</v>
      </c>
      <c r="D24">
        <f>D22/$G$22</f>
        <v>1.2758400369666818E-2</v>
      </c>
      <c r="E24">
        <f>E22/$G$22</f>
        <v>6.8909046134038171E-2</v>
      </c>
      <c r="F24">
        <f>F22/$G$22</f>
        <v>8.1512984255152597E-3</v>
      </c>
      <c r="G24">
        <f>SUM(B24:F24)</f>
        <v>0.99999999999999989</v>
      </c>
    </row>
    <row r="26" spans="1:8" x14ac:dyDescent="0.25">
      <c r="A26" t="s">
        <v>5</v>
      </c>
      <c r="B26">
        <v>0</v>
      </c>
      <c r="C26">
        <v>0</v>
      </c>
      <c r="D26">
        <v>50000</v>
      </c>
      <c r="E26">
        <v>5000</v>
      </c>
      <c r="F26">
        <v>0</v>
      </c>
    </row>
    <row r="27" spans="1:8" x14ac:dyDescent="0.25">
      <c r="A27" t="s">
        <v>6</v>
      </c>
      <c r="B27" t="s">
        <v>14</v>
      </c>
      <c r="C27" t="s">
        <v>14</v>
      </c>
      <c r="D27" t="s">
        <v>14</v>
      </c>
      <c r="E27" t="s">
        <v>14</v>
      </c>
      <c r="F27" t="s">
        <v>14</v>
      </c>
      <c r="G27" t="s">
        <v>14</v>
      </c>
    </row>
    <row r="28" spans="1:8" x14ac:dyDescent="0.25">
      <c r="A28" t="s">
        <v>7</v>
      </c>
      <c r="B28">
        <f>$B$24*G28</f>
        <v>135829.65437587266</v>
      </c>
      <c r="C28">
        <f>$C$24*G28</f>
        <v>51213.503722427646</v>
      </c>
      <c r="D28">
        <f>$D$24*G28</f>
        <v>2621.8640343669008</v>
      </c>
      <c r="E28">
        <f>$E$24*G28</f>
        <v>14160.877889590978</v>
      </c>
      <c r="F28">
        <f>$F$24*G28</f>
        <v>1675.0999777418115</v>
      </c>
      <c r="G28">
        <v>205501</v>
      </c>
    </row>
    <row r="29" spans="1:8" x14ac:dyDescent="0.25">
      <c r="A29" t="s">
        <v>8</v>
      </c>
      <c r="B29">
        <f>$B$24*G29</f>
        <v>-22264.718457093983</v>
      </c>
      <c r="C29">
        <f>$C$24*G29</f>
        <v>-8394.7371199652316</v>
      </c>
      <c r="D29">
        <f>$D$24*G29</f>
        <v>-429.76671645222677</v>
      </c>
      <c r="E29">
        <f>$E$24*G29</f>
        <v>-2321.2012190250757</v>
      </c>
      <c r="F29">
        <f>$F$24*G29</f>
        <v>-274.5764874634815</v>
      </c>
      <c r="G29">
        <v>-33685</v>
      </c>
    </row>
    <row r="30" spans="1:8" x14ac:dyDescent="0.25">
      <c r="A30" t="s">
        <v>9</v>
      </c>
      <c r="B30">
        <f>$B$24*G30</f>
        <v>8550.9473854660791</v>
      </c>
      <c r="C30">
        <f>$C$24*G30</f>
        <v>3224.0675113845987</v>
      </c>
      <c r="D30">
        <f>$D$24*G30</f>
        <v>165.05542558237963</v>
      </c>
      <c r="E30">
        <f>$E$24*G30</f>
        <v>891.47632983605183</v>
      </c>
      <c r="F30">
        <f>$F$24*G30</f>
        <v>105.45334773089091</v>
      </c>
      <c r="G30">
        <v>12937</v>
      </c>
    </row>
    <row r="31" spans="1:8" x14ac:dyDescent="0.25">
      <c r="B31" t="s">
        <v>0</v>
      </c>
      <c r="C31" t="s">
        <v>15</v>
      </c>
      <c r="D31" t="s">
        <v>16</v>
      </c>
      <c r="E31" t="s">
        <v>3</v>
      </c>
      <c r="F31" t="s">
        <v>17</v>
      </c>
    </row>
    <row r="32" spans="1:8" x14ac:dyDescent="0.25">
      <c r="A32" t="s">
        <v>18</v>
      </c>
      <c r="B32">
        <f>B30+B29+B28+B26+B22</f>
        <v>1572698.4736569126</v>
      </c>
      <c r="C32">
        <f>C30+C29+C28+C26+C22</f>
        <v>592973.59994749003</v>
      </c>
      <c r="D32">
        <f>D30+D29+D28+D26+D22</f>
        <v>80357.152743497049</v>
      </c>
      <c r="E32">
        <f>E30+E29+E28+E26+E22</f>
        <v>168961.18465392778</v>
      </c>
      <c r="F32">
        <f>F30+F29+F28+F26+F22</f>
        <v>19395.081216412389</v>
      </c>
      <c r="H32">
        <f>SUM(B32:F32)</f>
        <v>2434385.4922182397</v>
      </c>
    </row>
    <row r="33" spans="1:8" x14ac:dyDescent="0.25">
      <c r="B33">
        <f>B32/2434385</f>
        <v>0.64603523011229225</v>
      </c>
      <c r="C33">
        <f>C32/2434385</f>
        <v>0.24358250644310167</v>
      </c>
      <c r="D33">
        <f>D32/2434385</f>
        <v>3.3009221114777262E-2</v>
      </c>
      <c r="E33">
        <f>E32/2434385</f>
        <v>6.9406106533653381E-2</v>
      </c>
      <c r="F33">
        <f>F32/2434385</f>
        <v>7.9671379902572469E-3</v>
      </c>
    </row>
    <row r="35" spans="1:8" x14ac:dyDescent="0.25">
      <c r="A35" t="s">
        <v>19</v>
      </c>
      <c r="B35">
        <f>B33*$H$35</f>
        <v>1647618.533257805</v>
      </c>
      <c r="C35">
        <f>C33*$H$35</f>
        <v>621221.61963719013</v>
      </c>
      <c r="D35">
        <f>D33*$H$35</f>
        <v>84185.199106956657</v>
      </c>
      <c r="E35">
        <f>E33*$H$35</f>
        <v>177010.14142252904</v>
      </c>
      <c r="F35">
        <f>F33*$H$35</f>
        <v>20319.022242004532</v>
      </c>
      <c r="G35">
        <f>SUM(B35:F35)</f>
        <v>2550354.5156664858</v>
      </c>
      <c r="H35">
        <v>2550354</v>
      </c>
    </row>
    <row r="37" spans="1:8" x14ac:dyDescent="0.25">
      <c r="B37" t="s">
        <v>0</v>
      </c>
      <c r="C37" t="s">
        <v>15</v>
      </c>
      <c r="D37" t="s">
        <v>16</v>
      </c>
      <c r="E37" t="s">
        <v>3</v>
      </c>
      <c r="F37" t="s">
        <v>17</v>
      </c>
    </row>
    <row r="38" spans="1:8" x14ac:dyDescent="0.25">
      <c r="A38" t="s">
        <v>18</v>
      </c>
      <c r="B38">
        <f>B32</f>
        <v>1572698.4736569126</v>
      </c>
      <c r="C38">
        <f>C32</f>
        <v>592973.59994749003</v>
      </c>
      <c r="D38">
        <f>D32</f>
        <v>80357.152743497049</v>
      </c>
      <c r="E38">
        <f>E32</f>
        <v>168961.18465392778</v>
      </c>
      <c r="F38">
        <f>F32</f>
        <v>19395.081216412389</v>
      </c>
      <c r="G38">
        <f>H32</f>
        <v>2434385.4922182397</v>
      </c>
    </row>
    <row r="39" spans="1:8" x14ac:dyDescent="0.25">
      <c r="B39">
        <f>B38/$G$38</f>
        <v>0.64603509948781856</v>
      </c>
      <c r="C39">
        <f>C38/$G$38</f>
        <v>0.24358245719217039</v>
      </c>
      <c r="D39">
        <f>D38/$G$38</f>
        <v>3.3009214440509457E-2</v>
      </c>
      <c r="E39">
        <f>E38/$G$38</f>
        <v>6.9406092500152242E-2</v>
      </c>
      <c r="F39">
        <f>F38/$G$38</f>
        <v>7.9671363793494231E-3</v>
      </c>
      <c r="G39">
        <f>SUM(B39:F39)</f>
        <v>1</v>
      </c>
    </row>
    <row r="40" spans="1:8" x14ac:dyDescent="0.25">
      <c r="A40" t="s">
        <v>5</v>
      </c>
      <c r="B40">
        <v>0</v>
      </c>
      <c r="C40">
        <v>0</v>
      </c>
      <c r="D40">
        <v>50000</v>
      </c>
      <c r="E40">
        <v>4000</v>
      </c>
      <c r="F40">
        <v>7000</v>
      </c>
      <c r="G40">
        <v>61000</v>
      </c>
    </row>
    <row r="41" spans="1:8" x14ac:dyDescent="0.25">
      <c r="A41" t="s">
        <v>6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</row>
    <row r="42" spans="1:8" x14ac:dyDescent="0.25">
      <c r="A42" t="s">
        <v>7</v>
      </c>
      <c r="B42">
        <f>$B$39*G42</f>
        <v>138204.99676323004</v>
      </c>
      <c r="C42">
        <f>$C$39*G42</f>
        <v>52109.107902206626</v>
      </c>
      <c r="D42">
        <f>$D$39*G42</f>
        <v>7061.5952268293067</v>
      </c>
      <c r="E42">
        <f>$E$39*G42</f>
        <v>14847.906556372569</v>
      </c>
      <c r="F42">
        <f>$F$39*G42</f>
        <v>1704.3935513614633</v>
      </c>
      <c r="G42">
        <v>213928</v>
      </c>
    </row>
    <row r="43" spans="1:8" x14ac:dyDescent="0.25">
      <c r="A43" t="s">
        <v>8</v>
      </c>
      <c r="B43">
        <f>$B$39*G43</f>
        <v>-10768.759073362447</v>
      </c>
      <c r="C43">
        <f>$C$39*G43</f>
        <v>-4060.2759789362881</v>
      </c>
      <c r="D43">
        <f>$D$39*G43</f>
        <v>-550.23059550885216</v>
      </c>
      <c r="E43">
        <f>$E$39*G43</f>
        <v>-1156.9301558850377</v>
      </c>
      <c r="F43">
        <f>$F$39*G43</f>
        <v>-132.80419630737552</v>
      </c>
      <c r="G43">
        <v>-16669</v>
      </c>
    </row>
    <row r="44" spans="1:8" x14ac:dyDescent="0.25">
      <c r="A44" t="s">
        <v>9</v>
      </c>
      <c r="B44">
        <f>$B$39*G44</f>
        <v>26659.93045056381</v>
      </c>
      <c r="C44">
        <f>$C$39*G44</f>
        <v>10051.917260949296</v>
      </c>
      <c r="D44">
        <f>$D$39*G44</f>
        <v>1362.1912523165038</v>
      </c>
      <c r="E44">
        <f>$E$39*G44</f>
        <v>2864.1812192037823</v>
      </c>
      <c r="F44">
        <f>$F$39*G44</f>
        <v>328.77981696661266</v>
      </c>
      <c r="G44">
        <v>41267</v>
      </c>
    </row>
    <row r="46" spans="1:8" x14ac:dyDescent="0.25">
      <c r="A46" t="s">
        <v>20</v>
      </c>
      <c r="B46">
        <f>B38+B40+B41+B42+B43+B44</f>
        <v>1726794.641797344</v>
      </c>
      <c r="C46">
        <f>C38+C40+C41+C42+C43+C44</f>
        <v>651074.34913170966</v>
      </c>
      <c r="D46">
        <f>D38+D40+D41+D42+D43+D44</f>
        <v>138230.70862713401</v>
      </c>
      <c r="E46">
        <f>E38+E40+E41+E42+E43+E44</f>
        <v>189516.34227361908</v>
      </c>
      <c r="F46">
        <f>F38+F40+F41+F42+F43+F44</f>
        <v>28295.450388433092</v>
      </c>
      <c r="G46">
        <f>SUM(B46:F46)</f>
        <v>2733911.4922182397</v>
      </c>
    </row>
    <row r="48" spans="1:8" x14ac:dyDescent="0.25">
      <c r="A48" t="s">
        <v>21</v>
      </c>
      <c r="B48">
        <f>B46/$G$46</f>
        <v>0.63162053589242506</v>
      </c>
      <c r="C48">
        <f>C46/$G$46</f>
        <v>0.23814755926990208</v>
      </c>
      <c r="D48">
        <f>D46/$G$46</f>
        <v>5.0561515623527536E-2</v>
      </c>
      <c r="E48">
        <f>E46/$G$46</f>
        <v>6.9320584376288422E-2</v>
      </c>
      <c r="F48">
        <f>F46/$G$46</f>
        <v>1.0349804837856965E-2</v>
      </c>
      <c r="G48">
        <f>SUM(B48:F48)</f>
        <v>1</v>
      </c>
    </row>
    <row r="50" spans="1:7" x14ac:dyDescent="0.25">
      <c r="B50" t="s">
        <v>0</v>
      </c>
      <c r="C50" t="s">
        <v>15</v>
      </c>
      <c r="D50" t="s">
        <v>16</v>
      </c>
      <c r="E50" t="s">
        <v>3</v>
      </c>
      <c r="F50" t="s">
        <v>17</v>
      </c>
    </row>
    <row r="51" spans="1:7" x14ac:dyDescent="0.25">
      <c r="A51" t="s">
        <v>22</v>
      </c>
      <c r="B51">
        <f>B46</f>
        <v>1726794.641797344</v>
      </c>
      <c r="C51">
        <f>C46</f>
        <v>651074.34913170966</v>
      </c>
      <c r="D51">
        <f>D46</f>
        <v>138230.70862713401</v>
      </c>
      <c r="E51">
        <f>E46</f>
        <v>189516.34227361908</v>
      </c>
      <c r="F51">
        <f>F46</f>
        <v>28295.450388433092</v>
      </c>
      <c r="G51">
        <f>SUM(B51:F51)</f>
        <v>2733911.4922182397</v>
      </c>
    </row>
    <row r="52" spans="1:7" x14ac:dyDescent="0.25">
      <c r="B52">
        <f>B48</f>
        <v>0.63162053589242506</v>
      </c>
      <c r="C52">
        <f>C48</f>
        <v>0.23814755926990208</v>
      </c>
      <c r="D52">
        <f>D48</f>
        <v>5.0561515623527536E-2</v>
      </c>
      <c r="E52">
        <f>E48</f>
        <v>6.9320584376288422E-2</v>
      </c>
      <c r="F52">
        <f>F48</f>
        <v>1.0349804837856965E-2</v>
      </c>
      <c r="G52">
        <f>SUM(B52:F52)</f>
        <v>1</v>
      </c>
    </row>
    <row r="53" spans="1:7" x14ac:dyDescent="0.25">
      <c r="A53" t="s">
        <v>5</v>
      </c>
      <c r="B53">
        <v>0</v>
      </c>
      <c r="C53">
        <v>0</v>
      </c>
      <c r="D53">
        <v>50000</v>
      </c>
      <c r="E53">
        <v>3000</v>
      </c>
      <c r="F53">
        <v>0</v>
      </c>
      <c r="G53">
        <f>SUM(B53:F53)</f>
        <v>53000</v>
      </c>
    </row>
    <row r="54" spans="1:7" x14ac:dyDescent="0.25">
      <c r="A54" t="s">
        <v>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</row>
    <row r="55" spans="1:7" x14ac:dyDescent="0.25">
      <c r="A55" t="s">
        <v>23</v>
      </c>
      <c r="B55">
        <f>G55/2</f>
        <v>-29133.5</v>
      </c>
      <c r="C55">
        <f>G55/2</f>
        <v>-29133.5</v>
      </c>
      <c r="D55">
        <v>0</v>
      </c>
      <c r="E55">
        <v>0</v>
      </c>
      <c r="F55">
        <v>0</v>
      </c>
      <c r="G55">
        <v>-58267</v>
      </c>
    </row>
    <row r="56" spans="1:7" x14ac:dyDescent="0.25">
      <c r="A56" t="s">
        <v>7</v>
      </c>
      <c r="B56">
        <f>$B$52*G56</f>
        <v>146251.73508589104</v>
      </c>
      <c r="C56">
        <f>$C$52*G56</f>
        <v>55143.067348945828</v>
      </c>
      <c r="D56">
        <f>$D$52*G56</f>
        <v>11707.518942627801</v>
      </c>
      <c r="E56">
        <f>$E$52*G56</f>
        <v>16051.181312329583</v>
      </c>
      <c r="F56">
        <f>$F$52*G56</f>
        <v>2396.4973102057802</v>
      </c>
      <c r="G56">
        <v>231550</v>
      </c>
    </row>
    <row r="57" spans="1:7" x14ac:dyDescent="0.25">
      <c r="A57" t="s">
        <v>8</v>
      </c>
      <c r="B57">
        <f>$B$52*G57</f>
        <v>-11552.339601472455</v>
      </c>
      <c r="C57">
        <f>$C$52*G57</f>
        <v>-4355.7188590465094</v>
      </c>
      <c r="D57">
        <f>$D$52*G57</f>
        <v>-924.77012075431867</v>
      </c>
      <c r="E57">
        <f>$E$52*G57</f>
        <v>-1267.8734882423153</v>
      </c>
      <c r="F57">
        <f>$F$52*G57</f>
        <v>-189.29793048440388</v>
      </c>
      <c r="G57">
        <v>-18290</v>
      </c>
    </row>
    <row r="58" spans="1:7" x14ac:dyDescent="0.25">
      <c r="A58" t="s">
        <v>9</v>
      </c>
      <c r="B58">
        <f>$B$52*G58</f>
        <v>-4689.1508584653639</v>
      </c>
      <c r="C58">
        <f>$C$52*G58</f>
        <v>-1768.0074800197531</v>
      </c>
      <c r="D58">
        <f>$D$52*G58</f>
        <v>-375.36869198906845</v>
      </c>
      <c r="E58">
        <f>$E$52*G58</f>
        <v>-514.63601840956528</v>
      </c>
      <c r="F58">
        <f>$F$52*G58</f>
        <v>-76.836951116250106</v>
      </c>
      <c r="G58">
        <v>-7424</v>
      </c>
    </row>
    <row r="59" spans="1:7" x14ac:dyDescent="0.25">
      <c r="G59">
        <f>G51+G53+G54+G55+G56+G57+G58</f>
        <v>2934480.4922182397</v>
      </c>
    </row>
    <row r="60" spans="1:7" x14ac:dyDescent="0.25">
      <c r="A60" t="s">
        <v>24</v>
      </c>
      <c r="B60">
        <f>SUM(B54:B59)+B51</f>
        <v>1827671.3864232972</v>
      </c>
      <c r="C60">
        <f>SUM(C53:C58)+C51</f>
        <v>670960.19014158926</v>
      </c>
      <c r="D60">
        <f>D51+D53+D54+D56+D57+D58</f>
        <v>198638.08875701841</v>
      </c>
      <c r="E60">
        <f>E51+E53+E54+E56+E57+E58</f>
        <v>206785.01407929679</v>
      </c>
      <c r="F60">
        <f>F51+F53+F54+F56+F57+F58</f>
        <v>30425.812817038219</v>
      </c>
      <c r="G60">
        <f>SUM(B60:F60)</f>
        <v>2934480.4922182402</v>
      </c>
    </row>
    <row r="62" spans="1:7" x14ac:dyDescent="0.25">
      <c r="A62" t="s">
        <v>25</v>
      </c>
      <c r="B62">
        <f>B60/$G$60</f>
        <v>0.62282621788421533</v>
      </c>
      <c r="C62">
        <f>C60/$G$60</f>
        <v>0.22864700989523201</v>
      </c>
      <c r="D62">
        <f>D60/$G$60</f>
        <v>6.7691057849515096E-2</v>
      </c>
      <c r="E62">
        <f>E60/$G$60</f>
        <v>7.0467333017771513E-2</v>
      </c>
      <c r="F62">
        <f>F60/$G$60</f>
        <v>1.0368381353265926E-2</v>
      </c>
      <c r="G62">
        <f>SUM(B62:F62)</f>
        <v>0.99999999999999989</v>
      </c>
    </row>
    <row r="64" spans="1:7" x14ac:dyDescent="0.25">
      <c r="B64" t="s">
        <v>0</v>
      </c>
      <c r="C64" t="s">
        <v>15</v>
      </c>
      <c r="D64" t="s">
        <v>16</v>
      </c>
      <c r="E64" t="s">
        <v>3</v>
      </c>
      <c r="F64" t="s">
        <v>17</v>
      </c>
    </row>
    <row r="65" spans="1:8" x14ac:dyDescent="0.25">
      <c r="A65" t="s">
        <v>26</v>
      </c>
      <c r="B65">
        <f>B60</f>
        <v>1827671.3864232972</v>
      </c>
      <c r="C65">
        <f>C60</f>
        <v>670960.19014158926</v>
      </c>
      <c r="D65">
        <f>D60</f>
        <v>198638.08875701841</v>
      </c>
      <c r="E65">
        <f>E60</f>
        <v>206785.01407929679</v>
      </c>
      <c r="F65">
        <f>F60</f>
        <v>30425.812817038219</v>
      </c>
      <c r="G65">
        <f>SUM(B65:F65)</f>
        <v>2934480.4922182402</v>
      </c>
    </row>
    <row r="66" spans="1:8" x14ac:dyDescent="0.25">
      <c r="B66">
        <f>B62</f>
        <v>0.62282621788421533</v>
      </c>
      <c r="C66">
        <f>C62</f>
        <v>0.22864700989523201</v>
      </c>
      <c r="D66">
        <f>D62</f>
        <v>6.7691057849515096E-2</v>
      </c>
      <c r="E66">
        <f>E62</f>
        <v>7.0467333017771513E-2</v>
      </c>
      <c r="F66">
        <f>F62</f>
        <v>1.0368381353265926E-2</v>
      </c>
      <c r="G66">
        <f>SUM(B66:F66)</f>
        <v>0.99999999999999989</v>
      </c>
    </row>
    <row r="67" spans="1:8" x14ac:dyDescent="0.25">
      <c r="A67" t="s">
        <v>5</v>
      </c>
      <c r="B67">
        <v>0</v>
      </c>
      <c r="C67">
        <v>0</v>
      </c>
      <c r="D67">
        <v>0</v>
      </c>
      <c r="E67">
        <v>1999.98</v>
      </c>
      <c r="F67">
        <v>0</v>
      </c>
      <c r="G67">
        <f>SUM(B67:F67)</f>
        <v>1999.98</v>
      </c>
    </row>
    <row r="68" spans="1:8" x14ac:dyDescent="0.25">
      <c r="A68" t="s">
        <v>6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8" x14ac:dyDescent="0.25">
      <c r="A69" t="s">
        <v>23</v>
      </c>
      <c r="B69">
        <v>-38667.89</v>
      </c>
      <c r="C69">
        <v>-7824.69</v>
      </c>
      <c r="D69">
        <v>0</v>
      </c>
      <c r="E69">
        <v>0</v>
      </c>
      <c r="F69">
        <v>0</v>
      </c>
      <c r="G69">
        <f>SUM(B69:F69)</f>
        <v>-46492.58</v>
      </c>
      <c r="H69" t="s">
        <v>27</v>
      </c>
    </row>
    <row r="70" spans="1:8" x14ac:dyDescent="0.25">
      <c r="A70" t="s">
        <v>28</v>
      </c>
      <c r="B70">
        <f>(B65+B69)</f>
        <v>1789003.4964232973</v>
      </c>
      <c r="C70">
        <f>(C65+C69)</f>
        <v>663135.50014158932</v>
      </c>
      <c r="D70">
        <f>(D65+D69)</f>
        <v>198638.08875701841</v>
      </c>
      <c r="E70">
        <f>(E65+E69)</f>
        <v>206785.01407929679</v>
      </c>
      <c r="F70">
        <f>(F65+F69)</f>
        <v>30425.812817038219</v>
      </c>
      <c r="G70">
        <f>SUM(B70:F70)</f>
        <v>2887987.9122182401</v>
      </c>
    </row>
    <row r="71" spans="1:8" x14ac:dyDescent="0.25">
      <c r="A71" t="s">
        <v>29</v>
      </c>
      <c r="B71">
        <f>B70/G70</f>
        <v>0.6194636372453437</v>
      </c>
      <c r="C71">
        <f>C70/G70</f>
        <v>0.22961851652358209</v>
      </c>
      <c r="D71">
        <f>D70/G70</f>
        <v>6.8780789530537234E-2</v>
      </c>
      <c r="E71">
        <f>E70/G70</f>
        <v>7.1601758859325307E-2</v>
      </c>
      <c r="F71">
        <f>F70/G70</f>
        <v>1.0535297841211669E-2</v>
      </c>
      <c r="G71">
        <f>SUM(B71:F71)</f>
        <v>1</v>
      </c>
    </row>
    <row r="72" spans="1:8" x14ac:dyDescent="0.25">
      <c r="A72" t="s">
        <v>30</v>
      </c>
      <c r="B72">
        <f>G72*B71</f>
        <v>2232869.2617573137</v>
      </c>
      <c r="C72">
        <f>G72*C71</f>
        <v>827664.60636132222</v>
      </c>
      <c r="D72">
        <f>G72*D71</f>
        <v>247921.75280065683</v>
      </c>
      <c r="E72">
        <f>G72*E71</f>
        <v>258089.9940401605</v>
      </c>
      <c r="F72">
        <f>G72*F71</f>
        <v>37974.695040546612</v>
      </c>
      <c r="G72">
        <v>3604520.31</v>
      </c>
    </row>
    <row r="74" spans="1:8" x14ac:dyDescent="0.25">
      <c r="A74" t="s">
        <v>31</v>
      </c>
      <c r="B74">
        <f>B72</f>
        <v>2232869.2617573137</v>
      </c>
      <c r="C74">
        <f>C72</f>
        <v>827664.60636132222</v>
      </c>
      <c r="D74">
        <f>D72</f>
        <v>247921.75280065683</v>
      </c>
      <c r="E74">
        <f>E72</f>
        <v>258089.9940401605</v>
      </c>
      <c r="F74">
        <f>F72</f>
        <v>37974.695040546612</v>
      </c>
      <c r="G74">
        <f>SUM(B74:F74)</f>
        <v>3604520.31</v>
      </c>
    </row>
    <row r="76" spans="1:8" x14ac:dyDescent="0.25">
      <c r="A76" t="s">
        <v>32</v>
      </c>
      <c r="B76">
        <f>B74/G74</f>
        <v>0.6194636372453437</v>
      </c>
      <c r="C76">
        <f>C74/G74</f>
        <v>0.22961851652358209</v>
      </c>
      <c r="D76">
        <f>D74/G74</f>
        <v>6.8780789530537234E-2</v>
      </c>
      <c r="E76">
        <f>E74/G74</f>
        <v>7.1601758859325307E-2</v>
      </c>
      <c r="F76">
        <f>F74/G74</f>
        <v>1.0535297841211667E-2</v>
      </c>
      <c r="G76">
        <f>SUM(B76:F76)</f>
        <v>1</v>
      </c>
    </row>
    <row r="78" spans="1:8" x14ac:dyDescent="0.25">
      <c r="B78" t="s">
        <v>0</v>
      </c>
      <c r="C78" t="s">
        <v>15</v>
      </c>
      <c r="D78" t="s">
        <v>16</v>
      </c>
      <c r="E78" t="s">
        <v>3</v>
      </c>
      <c r="F78" t="s">
        <v>17</v>
      </c>
    </row>
    <row r="79" spans="1:8" x14ac:dyDescent="0.25">
      <c r="A79" t="s">
        <v>33</v>
      </c>
      <c r="B79">
        <f>B74</f>
        <v>2232869.2617573137</v>
      </c>
      <c r="C79">
        <f>C74</f>
        <v>827664.60636132222</v>
      </c>
      <c r="D79">
        <f>D74</f>
        <v>247921.75280065683</v>
      </c>
      <c r="E79">
        <f>E74</f>
        <v>258089.9940401605</v>
      </c>
      <c r="F79">
        <f>F74</f>
        <v>37974.695040546612</v>
      </c>
      <c r="G79">
        <f>SUM(B79:F79)</f>
        <v>3604520.31</v>
      </c>
    </row>
    <row r="80" spans="1:8" x14ac:dyDescent="0.25">
      <c r="B80">
        <f>B76</f>
        <v>0.6194636372453437</v>
      </c>
      <c r="C80">
        <f>C76</f>
        <v>0.22961851652358209</v>
      </c>
      <c r="D80">
        <f>D76</f>
        <v>6.8780789530537234E-2</v>
      </c>
      <c r="E80">
        <f>E76</f>
        <v>7.1601758859325307E-2</v>
      </c>
      <c r="F80">
        <f>F76</f>
        <v>1.0535297841211667E-2</v>
      </c>
      <c r="G80">
        <f>SUM(B80:F80)</f>
        <v>1</v>
      </c>
    </row>
    <row r="81" spans="1:8" x14ac:dyDescent="0.25">
      <c r="A81" t="s">
        <v>5</v>
      </c>
      <c r="B81">
        <v>0</v>
      </c>
      <c r="C81">
        <v>0</v>
      </c>
      <c r="D81">
        <v>10000</v>
      </c>
      <c r="E81">
        <v>10000</v>
      </c>
      <c r="F81">
        <v>10000</v>
      </c>
      <c r="G81">
        <f>SUM(B81:F81)</f>
        <v>30000</v>
      </c>
    </row>
    <row r="82" spans="1:8" x14ac:dyDescent="0.25">
      <c r="A82" t="s">
        <v>6</v>
      </c>
      <c r="B82">
        <v>0</v>
      </c>
      <c r="C82">
        <f>(48016.78*3)</f>
        <v>144050.34</v>
      </c>
      <c r="D82">
        <f>-(48016.78*4)</f>
        <v>-192067.12</v>
      </c>
      <c r="G82">
        <f>SUM(B82:F82)</f>
        <v>-48016.78</v>
      </c>
      <c r="H82" t="s">
        <v>34</v>
      </c>
    </row>
    <row r="83" spans="1:8" x14ac:dyDescent="0.25">
      <c r="A83" t="s">
        <v>23</v>
      </c>
      <c r="B83">
        <v>-1488.99</v>
      </c>
      <c r="C83">
        <v>-7482.56</v>
      </c>
      <c r="G83">
        <f>SUM(B83:F83)</f>
        <v>-8971.5500000000011</v>
      </c>
    </row>
    <row r="84" spans="1:8" x14ac:dyDescent="0.25">
      <c r="A84" t="s">
        <v>7</v>
      </c>
    </row>
    <row r="85" spans="1:8" x14ac:dyDescent="0.25">
      <c r="A85" t="s">
        <v>8</v>
      </c>
    </row>
    <row r="86" spans="1:8" x14ac:dyDescent="0.25">
      <c r="A86" t="s">
        <v>9</v>
      </c>
      <c r="B86">
        <f>B80*G86</f>
        <v>1.232732638118234</v>
      </c>
      <c r="C86">
        <f>C80*G86</f>
        <v>0.45694084788192835</v>
      </c>
      <c r="D86">
        <f>D80*G86</f>
        <v>0.1368737711657691</v>
      </c>
      <c r="E86">
        <f>E80*G86</f>
        <v>0.14248750013005737</v>
      </c>
      <c r="F86">
        <f>F80*G86</f>
        <v>2.0965242704011216E-2</v>
      </c>
      <c r="G86">
        <v>1.99</v>
      </c>
    </row>
    <row r="87" spans="1:8" x14ac:dyDescent="0.25">
      <c r="G87">
        <f>G79+G81+G82+G83+G84+G85+G86</f>
        <v>3577533.9700000007</v>
      </c>
    </row>
    <row r="88" spans="1:8" x14ac:dyDescent="0.25">
      <c r="A88" t="s">
        <v>35</v>
      </c>
      <c r="B88">
        <f>SUM(B82:B87)+B79</f>
        <v>2231381.5044899518</v>
      </c>
      <c r="C88">
        <f>SUM(C81:C86)+C79</f>
        <v>964232.84330217005</v>
      </c>
      <c r="D88">
        <f>D79+D81+D82+D84+D85+D86</f>
        <v>65854.769674427997</v>
      </c>
      <c r="E88">
        <f>E79+E81+E82+E84+E85+E86</f>
        <v>268090.13652766065</v>
      </c>
      <c r="F88">
        <f>F79+F81+F82+F84+F85+F86</f>
        <v>47974.71600578932</v>
      </c>
      <c r="G88">
        <f>SUM(B88:F88)</f>
        <v>3577533.9699999993</v>
      </c>
    </row>
    <row r="90" spans="1:8" x14ac:dyDescent="0.25">
      <c r="A90" t="s">
        <v>36</v>
      </c>
      <c r="B90">
        <f>B88/G88</f>
        <v>0.62372056371835161</v>
      </c>
      <c r="C90">
        <f>C88/G88</f>
        <v>0.2695244409662923</v>
      </c>
      <c r="D90">
        <f>D88/G88</f>
        <v>1.8407867046592436E-2</v>
      </c>
      <c r="E90">
        <f>E88/G88</f>
        <v>7.4937132330754844E-2</v>
      </c>
      <c r="F90">
        <f>F88/G88</f>
        <v>1.3409995938009033E-2</v>
      </c>
      <c r="G90">
        <f>SUM(B90:F90)</f>
        <v>1.0000000000000002</v>
      </c>
    </row>
    <row r="92" spans="1:8" x14ac:dyDescent="0.25">
      <c r="B92" t="s">
        <v>0</v>
      </c>
      <c r="C92" t="s">
        <v>15</v>
      </c>
      <c r="D92" t="s">
        <v>16</v>
      </c>
      <c r="E92" t="s">
        <v>3</v>
      </c>
      <c r="F92" t="s">
        <v>17</v>
      </c>
    </row>
    <row r="93" spans="1:8" x14ac:dyDescent="0.25">
      <c r="A93" t="s">
        <v>37</v>
      </c>
      <c r="B93">
        <f>B88</f>
        <v>2231381.5044899518</v>
      </c>
      <c r="C93">
        <f>C88</f>
        <v>964232.84330217005</v>
      </c>
      <c r="D93">
        <f>D88</f>
        <v>65854.769674427997</v>
      </c>
      <c r="E93">
        <f>E88</f>
        <v>268090.13652766065</v>
      </c>
      <c r="F93">
        <f>F88</f>
        <v>47974.71600578932</v>
      </c>
      <c r="G93">
        <f>SUM(B93:F93)</f>
        <v>3577533.9699999993</v>
      </c>
    </row>
    <row r="94" spans="1:8" x14ac:dyDescent="0.25">
      <c r="B94">
        <f>B90</f>
        <v>0.62372056371835161</v>
      </c>
      <c r="C94">
        <f>C90</f>
        <v>0.2695244409662923</v>
      </c>
      <c r="D94">
        <f>D90</f>
        <v>1.8407867046592436E-2</v>
      </c>
      <c r="E94">
        <f>E90</f>
        <v>7.4937132330754844E-2</v>
      </c>
      <c r="F94">
        <f>F90</f>
        <v>1.3409995938009033E-2</v>
      </c>
      <c r="G94">
        <f>SUM(B94:F94)</f>
        <v>1.0000000000000002</v>
      </c>
    </row>
    <row r="95" spans="1:8" x14ac:dyDescent="0.25">
      <c r="A95" t="s">
        <v>5</v>
      </c>
      <c r="B95">
        <v>0</v>
      </c>
      <c r="C95">
        <v>0</v>
      </c>
      <c r="D95">
        <v>0</v>
      </c>
      <c r="E95">
        <v>5999.94</v>
      </c>
      <c r="G95">
        <f>SUM(B95:F95)</f>
        <v>5999.94</v>
      </c>
    </row>
    <row r="96" spans="1:8" x14ac:dyDescent="0.25">
      <c r="A96" t="s">
        <v>6</v>
      </c>
    </row>
    <row r="97" spans="1:7" x14ac:dyDescent="0.25">
      <c r="A97" t="s">
        <v>23</v>
      </c>
      <c r="B97">
        <v>-10599.28</v>
      </c>
      <c r="C97">
        <v>-43831.360000000001</v>
      </c>
      <c r="G97">
        <f>SUM(B97:D97)</f>
        <v>-54430.64</v>
      </c>
    </row>
    <row r="98" spans="1:7" x14ac:dyDescent="0.25">
      <c r="A98" t="s">
        <v>8</v>
      </c>
      <c r="B98">
        <f>B94*G98</f>
        <v>-466.23112137946782</v>
      </c>
      <c r="C98">
        <f>C94*G98</f>
        <v>-201.46951962230349</v>
      </c>
      <c r="D98">
        <f>D94*G98</f>
        <v>-13.759880617327847</v>
      </c>
      <c r="E98">
        <f>E94*G98</f>
        <v>-56.015506417239244</v>
      </c>
      <c r="F98">
        <f>-F94*G98</f>
        <v>10.023971963661753</v>
      </c>
      <c r="G98">
        <v>-747.5</v>
      </c>
    </row>
    <row r="99" spans="1:7" x14ac:dyDescent="0.25">
      <c r="A99" t="s">
        <v>28</v>
      </c>
      <c r="B99">
        <f>B93+B97+B98</f>
        <v>2220315.9933685726</v>
      </c>
      <c r="C99">
        <f>C93+C97+C98</f>
        <v>920200.01378254779</v>
      </c>
      <c r="D99">
        <f>D93+D97+D98</f>
        <v>65841.009793810663</v>
      </c>
      <c r="E99">
        <f>E93+E97+E98</f>
        <v>268034.12102124339</v>
      </c>
      <c r="F99">
        <f>F93+F97+F98</f>
        <v>47984.739977752979</v>
      </c>
      <c r="G99">
        <f>SUM(B99:F99)</f>
        <v>3522375.877943927</v>
      </c>
    </row>
    <row r="100" spans="1:7" x14ac:dyDescent="0.25">
      <c r="A100" t="s">
        <v>38</v>
      </c>
      <c r="B100">
        <f>B99/G99</f>
        <v>0.63034612724653627</v>
      </c>
      <c r="C100">
        <f>C99/G99</f>
        <v>0.26124412773337657</v>
      </c>
      <c r="D100">
        <f>D99/G99</f>
        <v>1.869221573032212E-2</v>
      </c>
      <c r="E100">
        <f>E99/G99</f>
        <v>7.6094695827209569E-2</v>
      </c>
      <c r="F100">
        <f>F99/G99</f>
        <v>1.362283346255554E-2</v>
      </c>
    </row>
    <row r="101" spans="1:7" x14ac:dyDescent="0.25">
      <c r="A101" t="s">
        <v>39</v>
      </c>
      <c r="B101">
        <f>G101*B100</f>
        <v>2423626.0758810127</v>
      </c>
      <c r="C101">
        <f>G101*C100</f>
        <v>1004460.9664076916</v>
      </c>
      <c r="D101">
        <f>G101*D100</f>
        <v>71869.944942619433</v>
      </c>
      <c r="E101">
        <f>G101*E100</f>
        <v>292577.49206560646</v>
      </c>
      <c r="F101">
        <f>G101*F100</f>
        <v>52378.610703069819</v>
      </c>
      <c r="G101">
        <v>3844913.09</v>
      </c>
    </row>
    <row r="103" spans="1:7" x14ac:dyDescent="0.25">
      <c r="A103" t="s">
        <v>40</v>
      </c>
      <c r="B103">
        <f>B101</f>
        <v>2423626.0758810127</v>
      </c>
      <c r="C103">
        <f>C101</f>
        <v>1004460.9664076916</v>
      </c>
      <c r="D103">
        <f>D101</f>
        <v>71869.944942619433</v>
      </c>
      <c r="E103">
        <f>E101</f>
        <v>292577.49206560646</v>
      </c>
      <c r="F103">
        <f>F101</f>
        <v>52378.610703069819</v>
      </c>
      <c r="G103">
        <f>SUM(B103:F103)</f>
        <v>3844913.0900000003</v>
      </c>
    </row>
    <row r="105" spans="1:7" x14ac:dyDescent="0.25">
      <c r="A105" t="s">
        <v>41</v>
      </c>
      <c r="B105">
        <f>B103/G103</f>
        <v>0.63034612724653616</v>
      </c>
      <c r="C105">
        <f>C103/G103</f>
        <v>0.26124412773337652</v>
      </c>
      <c r="D105">
        <f>D103/G103</f>
        <v>1.869221573032212E-2</v>
      </c>
      <c r="E105">
        <f>E103/G103</f>
        <v>7.6094695827209569E-2</v>
      </c>
      <c r="F105">
        <f>F103/G103</f>
        <v>1.3622833462555538E-2</v>
      </c>
      <c r="G105">
        <f>SUM(B105:F105)</f>
        <v>0.99999999999999989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7"/>
  <sheetViews>
    <sheetView zoomScaleNormal="100" workbookViewId="0">
      <pane ySplit="1" topLeftCell="A45" activePane="bottomLeft" state="frozen"/>
      <selection pane="bottomLeft" sqref="A1:XFD1048576"/>
    </sheetView>
  </sheetViews>
  <sheetFormatPr defaultRowHeight="15" x14ac:dyDescent="0.25"/>
  <cols>
    <col min="1" max="1" width="12.140625" customWidth="1"/>
    <col min="2" max="2" width="35.42578125" customWidth="1"/>
    <col min="3" max="3" width="22.140625" style="1" customWidth="1"/>
    <col min="4" max="4" width="23.28515625" style="1" customWidth="1"/>
    <col min="5" max="5" width="17" style="1" customWidth="1"/>
    <col min="6" max="6" width="13.42578125" style="1" customWidth="1"/>
    <col min="7" max="7" width="14.5703125" style="1" customWidth="1"/>
    <col min="8" max="8" width="11.42578125" style="2" customWidth="1"/>
    <col min="9" max="9" width="14.5703125" style="1" customWidth="1"/>
    <col min="10" max="10" width="12.5703125" style="2" customWidth="1"/>
    <col min="11" max="11" width="14.140625" style="1" customWidth="1"/>
    <col min="12" max="12" width="13.85546875" style="2" customWidth="1"/>
    <col min="13" max="13" width="12.42578125" style="1" customWidth="1"/>
    <col min="14" max="14" width="10.85546875" style="2" customWidth="1"/>
    <col min="15" max="15" width="12.28515625" style="1" customWidth="1"/>
    <col min="16" max="16" width="12.5703125" style="2" customWidth="1"/>
    <col min="17" max="17" width="18.28515625" style="1" customWidth="1"/>
    <col min="18" max="18" width="18.140625" style="2" customWidth="1"/>
  </cols>
  <sheetData>
    <row r="1" spans="1:18" x14ac:dyDescent="0.25">
      <c r="A1" t="s">
        <v>42</v>
      </c>
      <c r="B1" t="s">
        <v>57</v>
      </c>
      <c r="C1" s="1" t="s">
        <v>58</v>
      </c>
      <c r="D1" s="1" t="s">
        <v>59</v>
      </c>
      <c r="E1" s="1" t="s">
        <v>43</v>
      </c>
      <c r="F1" s="1" t="s">
        <v>44</v>
      </c>
      <c r="G1" s="1" t="s">
        <v>55</v>
      </c>
      <c r="H1" s="2" t="s">
        <v>56</v>
      </c>
      <c r="I1" s="1" t="s">
        <v>47</v>
      </c>
      <c r="J1" s="2" t="s">
        <v>48</v>
      </c>
      <c r="K1" s="1" t="s">
        <v>49</v>
      </c>
      <c r="L1" s="2" t="s">
        <v>50</v>
      </c>
      <c r="M1" s="1" t="s">
        <v>51</v>
      </c>
      <c r="N1" s="2" t="s">
        <v>52</v>
      </c>
      <c r="O1" s="1" t="s">
        <v>53</v>
      </c>
      <c r="P1" s="2" t="s">
        <v>54</v>
      </c>
      <c r="Q1" s="1" t="s">
        <v>45</v>
      </c>
      <c r="R1" s="2" t="s">
        <v>46</v>
      </c>
    </row>
    <row r="3" spans="1:18" x14ac:dyDescent="0.25">
      <c r="A3" s="3">
        <v>43067</v>
      </c>
      <c r="B3" s="3" t="s">
        <v>65</v>
      </c>
      <c r="D3" s="1">
        <v>82819.02</v>
      </c>
      <c r="E3" s="1">
        <f>198194.03+548040.72+2700000+322380.3</f>
        <v>3768615.05</v>
      </c>
      <c r="F3" s="1">
        <f>D3+E3</f>
        <v>3851434.07</v>
      </c>
      <c r="G3" s="1">
        <f>F3*H3</f>
        <v>2427736.5503698643</v>
      </c>
      <c r="H3" s="2">
        <v>0.63034612724653616</v>
      </c>
      <c r="I3" s="1">
        <f>F3*J3</f>
        <v>1006164.5341397582</v>
      </c>
      <c r="J3" s="2">
        <v>0.26124412773337652</v>
      </c>
      <c r="K3" s="1">
        <f>F3*L3</f>
        <v>71991.836507552536</v>
      </c>
      <c r="L3" s="2">
        <v>1.869221573032212E-2</v>
      </c>
      <c r="M3" s="1">
        <f>F3*N3</f>
        <v>293073.70405520173</v>
      </c>
      <c r="N3" s="2">
        <v>7.6094695827209569E-2</v>
      </c>
      <c r="O3" s="1">
        <f>F3*P3</f>
        <v>52467.44492762247</v>
      </c>
      <c r="P3" s="2">
        <v>1.3622833462555538E-2</v>
      </c>
      <c r="Q3" s="1">
        <f>G3+I3+K3+M3+O3</f>
        <v>3851434.0699999989</v>
      </c>
      <c r="R3" s="2">
        <f>H3+J3+L3+N3+P3</f>
        <v>0.99999999999999989</v>
      </c>
    </row>
    <row r="4" spans="1:18" x14ac:dyDescent="0.25">
      <c r="A4" s="3">
        <v>43067</v>
      </c>
      <c r="B4" s="3" t="s">
        <v>66</v>
      </c>
      <c r="C4" s="1">
        <v>45000</v>
      </c>
      <c r="D4" s="1">
        <f>D3+C4</f>
        <v>127819.02</v>
      </c>
      <c r="E4" s="1">
        <f>E3-45000</f>
        <v>3723615.05</v>
      </c>
      <c r="F4" s="1">
        <f>D4+E4</f>
        <v>3851434.07</v>
      </c>
      <c r="G4" s="1">
        <f>G3</f>
        <v>2427736.5503698643</v>
      </c>
      <c r="H4" s="2">
        <f>G4/F4</f>
        <v>0.63034612724653605</v>
      </c>
      <c r="I4" s="1">
        <f>I3</f>
        <v>1006164.5341397582</v>
      </c>
      <c r="J4" s="2">
        <f>I4/F4</f>
        <v>0.26124412773337652</v>
      </c>
      <c r="K4" s="1">
        <f>K3</f>
        <v>71991.836507552536</v>
      </c>
      <c r="L4" s="2">
        <f>K4/F4</f>
        <v>1.8692215730322117E-2</v>
      </c>
      <c r="M4" s="1">
        <f>M3</f>
        <v>293073.70405520173</v>
      </c>
      <c r="N4" s="2">
        <f>M4/F4</f>
        <v>7.6094695827209569E-2</v>
      </c>
      <c r="O4" s="1">
        <f>O3</f>
        <v>52467.44492762247</v>
      </c>
      <c r="P4" s="2">
        <f>O4/F4</f>
        <v>1.3622833462555538E-2</v>
      </c>
      <c r="Q4" s="1">
        <f t="shared" ref="Q4:Q35" si="0">G4+I4+K4+M4+O4</f>
        <v>3851434.0699999989</v>
      </c>
      <c r="R4" s="2">
        <f t="shared" ref="R4:R35" si="1">H4+J4+L4+N4+P4</f>
        <v>0.99999999999999989</v>
      </c>
    </row>
    <row r="5" spans="1:18" x14ac:dyDescent="0.25">
      <c r="A5" s="3">
        <v>43068</v>
      </c>
      <c r="B5" t="s">
        <v>60</v>
      </c>
      <c r="C5" s="1">
        <f>-708.34*2</f>
        <v>-1416.68</v>
      </c>
      <c r="D5" s="1">
        <f>D4+C5</f>
        <v>126402.34000000001</v>
      </c>
      <c r="E5" s="1">
        <f>E4</f>
        <v>3723615.05</v>
      </c>
      <c r="F5" s="1">
        <f>D5+E5</f>
        <v>3850017.3899999997</v>
      </c>
      <c r="G5" s="1">
        <f>G4+C5</f>
        <v>2426319.8703698642</v>
      </c>
      <c r="H5" s="2">
        <f>G5/F5</f>
        <v>0.63021010675743061</v>
      </c>
      <c r="I5" s="1">
        <f>I4</f>
        <v>1006164.5341397582</v>
      </c>
      <c r="J5" s="2">
        <f>I5/F5</f>
        <v>0.26134025699550367</v>
      </c>
      <c r="K5" s="1">
        <f>K4</f>
        <v>71991.836507552536</v>
      </c>
      <c r="L5" s="2">
        <f>K5/F5</f>
        <v>1.8699093852028691E-2</v>
      </c>
      <c r="M5" s="1">
        <f>M4</f>
        <v>293073.70405520173</v>
      </c>
      <c r="N5" s="2">
        <f>M5/F5</f>
        <v>7.6122696177016946E-2</v>
      </c>
      <c r="O5" s="1">
        <f>O4</f>
        <v>52467.44492762247</v>
      </c>
      <c r="P5" s="2">
        <f>O5/F5</f>
        <v>1.3627846218019933E-2</v>
      </c>
      <c r="Q5" s="1">
        <f t="shared" si="0"/>
        <v>3850017.3899999992</v>
      </c>
      <c r="R5" s="2">
        <f t="shared" si="1"/>
        <v>0.99999999999999989</v>
      </c>
    </row>
    <row r="6" spans="1:18" x14ac:dyDescent="0.25">
      <c r="A6" s="3">
        <v>43068</v>
      </c>
      <c r="B6" t="s">
        <v>61</v>
      </c>
      <c r="C6" s="1">
        <f>-2927.93+-2927.54</f>
        <v>-5855.4699999999993</v>
      </c>
      <c r="D6" s="1">
        <f>D5+C6</f>
        <v>120546.87000000001</v>
      </c>
      <c r="E6" s="1">
        <f>E5</f>
        <v>3723615.05</v>
      </c>
      <c r="F6" s="1">
        <f>D6+E6</f>
        <v>3844161.92</v>
      </c>
      <c r="G6" s="1">
        <f>G5</f>
        <v>2426319.8703698642</v>
      </c>
      <c r="H6" s="2">
        <f t="shared" ref="H6:H35" si="2">G6/F6</f>
        <v>0.63117004976987656</v>
      </c>
      <c r="I6" s="1">
        <f>I5+C6</f>
        <v>1000309.0641397582</v>
      </c>
      <c r="J6" s="2">
        <f t="shared" ref="J6:J35" si="3">I6/F6</f>
        <v>0.26021512229634652</v>
      </c>
      <c r="K6" s="1">
        <f>K5</f>
        <v>71991.836507552536</v>
      </c>
      <c r="L6" s="2">
        <f t="shared" ref="L6:L35" si="4">K6/F6</f>
        <v>1.8727576518824819E-2</v>
      </c>
      <c r="M6" s="1">
        <f>M5</f>
        <v>293073.70405520173</v>
      </c>
      <c r="N6" s="2">
        <f t="shared" ref="N6:N35" si="5">M6/F6</f>
        <v>7.6238647110681984E-2</v>
      </c>
      <c r="O6" s="1">
        <f>O5</f>
        <v>52467.44492762247</v>
      </c>
      <c r="P6" s="2">
        <f t="shared" ref="P6:P35" si="6">O6/F6</f>
        <v>1.3648604304269908E-2</v>
      </c>
      <c r="Q6" s="1">
        <f t="shared" si="0"/>
        <v>3844161.9199999995</v>
      </c>
      <c r="R6" s="2">
        <f t="shared" si="1"/>
        <v>0.99999999999999989</v>
      </c>
    </row>
    <row r="7" spans="1:18" x14ac:dyDescent="0.25">
      <c r="A7" s="3">
        <v>43070</v>
      </c>
      <c r="B7" t="s">
        <v>62</v>
      </c>
      <c r="C7" s="1">
        <v>3</v>
      </c>
      <c r="D7" s="1">
        <f t="shared" ref="D7:D35" si="7">D6+C7</f>
        <v>120549.87000000001</v>
      </c>
      <c r="E7" s="1">
        <f t="shared" ref="E7:E35" si="8">E6</f>
        <v>3723615.05</v>
      </c>
      <c r="F7" s="1">
        <f t="shared" ref="F7:F35" si="9">D7+E7</f>
        <v>3844164.92</v>
      </c>
      <c r="G7" s="1">
        <f>G6+(H6*C7)</f>
        <v>2426321.7638800135</v>
      </c>
      <c r="H7" s="2">
        <f t="shared" si="2"/>
        <v>0.63117004976987656</v>
      </c>
      <c r="I7" s="1">
        <f>I6+(J6*C7)</f>
        <v>1000309.8447851251</v>
      </c>
      <c r="J7" s="2">
        <f t="shared" si="3"/>
        <v>0.26021512229634652</v>
      </c>
      <c r="K7" s="1">
        <f>K6+(L6*C7)</f>
        <v>71991.892690282097</v>
      </c>
      <c r="L7" s="2">
        <f t="shared" si="4"/>
        <v>1.8727576518824823E-2</v>
      </c>
      <c r="M7" s="1">
        <f>M6+(N6*C7)</f>
        <v>293073.93277114304</v>
      </c>
      <c r="N7" s="2">
        <f t="shared" si="5"/>
        <v>7.6238647110681984E-2</v>
      </c>
      <c r="O7" s="1">
        <f>O6+(P6*C7)</f>
        <v>52467.485873435384</v>
      </c>
      <c r="P7" s="2">
        <f t="shared" si="6"/>
        <v>1.3648604304269908E-2</v>
      </c>
      <c r="Q7" s="1">
        <f t="shared" si="0"/>
        <v>3844164.919999999</v>
      </c>
      <c r="R7" s="2">
        <f t="shared" si="1"/>
        <v>0.99999999999999989</v>
      </c>
    </row>
    <row r="8" spans="1:18" x14ac:dyDescent="0.25">
      <c r="A8" s="3">
        <v>43080</v>
      </c>
      <c r="B8" t="s">
        <v>63</v>
      </c>
      <c r="C8" s="1">
        <v>-708.34</v>
      </c>
      <c r="D8" s="1">
        <f t="shared" si="7"/>
        <v>119841.53000000001</v>
      </c>
      <c r="E8" s="1">
        <f t="shared" si="8"/>
        <v>3723615.05</v>
      </c>
      <c r="F8" s="1">
        <f t="shared" si="9"/>
        <v>3843456.5799999996</v>
      </c>
      <c r="G8" s="1">
        <f>G7+C8</f>
        <v>2425613.4238800136</v>
      </c>
      <c r="H8" s="2">
        <f t="shared" si="2"/>
        <v>0.63110207527829387</v>
      </c>
      <c r="I8" s="1">
        <f>I7</f>
        <v>1000309.8447851251</v>
      </c>
      <c r="J8" s="2">
        <f t="shared" si="3"/>
        <v>0.26026307933082599</v>
      </c>
      <c r="K8" s="1">
        <f>K7</f>
        <v>71991.892690282097</v>
      </c>
      <c r="L8" s="2">
        <f t="shared" si="4"/>
        <v>1.8731027967091567E-2</v>
      </c>
      <c r="M8" s="1">
        <f>M7</f>
        <v>293073.93277114304</v>
      </c>
      <c r="N8" s="2">
        <f t="shared" si="5"/>
        <v>7.6252697713874801E-2</v>
      </c>
      <c r="O8" s="1">
        <f>O7</f>
        <v>52467.485873435384</v>
      </c>
      <c r="P8" s="2">
        <f t="shared" si="6"/>
        <v>1.3651119709913671E-2</v>
      </c>
      <c r="Q8" s="1">
        <f t="shared" si="0"/>
        <v>3843456.5799999991</v>
      </c>
      <c r="R8" s="2">
        <f t="shared" si="1"/>
        <v>0.99999999999999989</v>
      </c>
    </row>
    <row r="9" spans="1:18" x14ac:dyDescent="0.25">
      <c r="A9" s="3">
        <v>43080</v>
      </c>
      <c r="B9" t="s">
        <v>64</v>
      </c>
      <c r="C9" s="1">
        <v>-2927.54</v>
      </c>
      <c r="D9" s="1">
        <f t="shared" si="7"/>
        <v>116913.99000000002</v>
      </c>
      <c r="E9" s="1">
        <f t="shared" si="8"/>
        <v>3723615.05</v>
      </c>
      <c r="F9" s="1">
        <f t="shared" si="9"/>
        <v>3840529.04</v>
      </c>
      <c r="G9" s="1">
        <f>G8</f>
        <v>2425613.4238800136</v>
      </c>
      <c r="H9" s="2">
        <f t="shared" si="2"/>
        <v>0.63158314873203347</v>
      </c>
      <c r="I9" s="1">
        <f>I8+C9</f>
        <v>997382.30478512507</v>
      </c>
      <c r="J9" s="2">
        <f t="shared" si="3"/>
        <v>0.25969919622977911</v>
      </c>
      <c r="K9" s="1">
        <f>K8</f>
        <v>71991.892690282097</v>
      </c>
      <c r="L9" s="2">
        <f t="shared" si="4"/>
        <v>1.8745306164976192E-2</v>
      </c>
      <c r="M9" s="1">
        <f>M8</f>
        <v>293073.93277114304</v>
      </c>
      <c r="N9" s="2">
        <f t="shared" si="5"/>
        <v>7.6310823253439852E-2</v>
      </c>
      <c r="O9" s="1">
        <f>O8</f>
        <v>52467.485873435384</v>
      </c>
      <c r="P9" s="2">
        <f t="shared" si="6"/>
        <v>1.3661525619771225E-2</v>
      </c>
      <c r="Q9" s="1">
        <f t="shared" si="0"/>
        <v>3840529.0399999991</v>
      </c>
      <c r="R9" s="2">
        <f t="shared" si="1"/>
        <v>0.99999999999999978</v>
      </c>
    </row>
    <row r="10" spans="1:18" x14ac:dyDescent="0.25">
      <c r="A10" s="3">
        <v>43082</v>
      </c>
      <c r="B10" t="s">
        <v>62</v>
      </c>
      <c r="C10" s="1">
        <v>3.94</v>
      </c>
      <c r="D10" s="1">
        <f t="shared" si="7"/>
        <v>116917.93000000002</v>
      </c>
      <c r="E10" s="1">
        <f t="shared" si="8"/>
        <v>3723615.05</v>
      </c>
      <c r="F10" s="1">
        <f t="shared" si="9"/>
        <v>3840532.98</v>
      </c>
      <c r="G10" s="1">
        <f t="shared" ref="G10:G32" si="10">G9+(H9*C10)</f>
        <v>2425615.9123176197</v>
      </c>
      <c r="H10" s="2">
        <f t="shared" si="2"/>
        <v>0.63158314873203347</v>
      </c>
      <c r="I10" s="1">
        <f t="shared" ref="I10:I32" si="11">I9+(J9*C10)</f>
        <v>997383.32799995819</v>
      </c>
      <c r="J10" s="2">
        <f t="shared" si="3"/>
        <v>0.25969919622977905</v>
      </c>
      <c r="K10" s="1">
        <f t="shared" ref="K10:K32" si="12">K9+(L9*C10)</f>
        <v>71991.96654678839</v>
      </c>
      <c r="L10" s="2">
        <f t="shared" si="4"/>
        <v>1.8745306164976192E-2</v>
      </c>
      <c r="M10" s="1">
        <f t="shared" ref="M10:M27" si="13">M9+(N9*C10)</f>
        <v>293074.23343578668</v>
      </c>
      <c r="N10" s="2">
        <f t="shared" si="5"/>
        <v>7.6310823253439866E-2</v>
      </c>
      <c r="O10" s="1">
        <f t="shared" ref="O10:O32" si="14">O9+(P9*C10)</f>
        <v>52467.539699846326</v>
      </c>
      <c r="P10" s="2">
        <f t="shared" si="6"/>
        <v>1.3661525619771225E-2</v>
      </c>
      <c r="Q10" s="1">
        <f t="shared" si="0"/>
        <v>3840532.9799999995</v>
      </c>
      <c r="R10" s="2">
        <f t="shared" si="1"/>
        <v>0.99999999999999978</v>
      </c>
    </row>
    <row r="11" spans="1:18" x14ac:dyDescent="0.25">
      <c r="A11" s="3">
        <v>43102</v>
      </c>
      <c r="B11" t="s">
        <v>67</v>
      </c>
      <c r="C11" s="1">
        <v>-17967.48</v>
      </c>
      <c r="D11" s="1">
        <f t="shared" si="7"/>
        <v>98950.450000000026</v>
      </c>
      <c r="E11" s="1">
        <f t="shared" si="8"/>
        <v>3723615.05</v>
      </c>
      <c r="F11" s="1">
        <f t="shared" si="9"/>
        <v>3822565.5</v>
      </c>
      <c r="G11" s="1">
        <f>G10</f>
        <v>2425615.9123176197</v>
      </c>
      <c r="H11" s="2">
        <f t="shared" si="2"/>
        <v>0.63455182450572001</v>
      </c>
      <c r="I11" s="1">
        <f>I10+(17967.48*3)</f>
        <v>1051285.7679999582</v>
      </c>
      <c r="J11" s="2">
        <f t="shared" si="3"/>
        <v>0.2750209951928772</v>
      </c>
      <c r="K11" s="4">
        <f>K10-(17967.48*4)</f>
        <v>122.04654678839142</v>
      </c>
      <c r="L11" s="2">
        <f t="shared" si="4"/>
        <v>3.1927915110517116E-5</v>
      </c>
      <c r="M11" s="1">
        <f>M10</f>
        <v>293074.23343578668</v>
      </c>
      <c r="N11" s="2">
        <f t="shared" si="5"/>
        <v>7.6669512513464239E-2</v>
      </c>
      <c r="O11" s="1">
        <f>O10</f>
        <v>52467.539699846326</v>
      </c>
      <c r="P11" s="2">
        <f t="shared" si="6"/>
        <v>1.3725739872827903E-2</v>
      </c>
      <c r="Q11" s="1">
        <f t="shared" si="0"/>
        <v>3822565.4999999995</v>
      </c>
      <c r="R11" s="2">
        <f t="shared" si="1"/>
        <v>0.99999999999999989</v>
      </c>
    </row>
    <row r="12" spans="1:18" x14ac:dyDescent="0.25">
      <c r="A12" s="3">
        <v>43105</v>
      </c>
      <c r="B12" t="s">
        <v>68</v>
      </c>
      <c r="C12" s="1">
        <v>-2533.5100000000002</v>
      </c>
      <c r="D12" s="1">
        <f t="shared" si="7"/>
        <v>96416.940000000031</v>
      </c>
      <c r="E12" s="1">
        <f t="shared" si="8"/>
        <v>3723615.05</v>
      </c>
      <c r="F12" s="1">
        <f t="shared" si="9"/>
        <v>3820031.9899999998</v>
      </c>
      <c r="G12" s="1">
        <f>G11+(C12*0.19471)</f>
        <v>2425122.6125855194</v>
      </c>
      <c r="H12" s="2">
        <f t="shared" si="2"/>
        <v>0.63484353506304525</v>
      </c>
      <c r="I12" s="1">
        <f>I11+(C12*0.80529)</f>
        <v>1049245.5577320582</v>
      </c>
      <c r="J12" s="2">
        <f t="shared" si="3"/>
        <v>0.27466931179601412</v>
      </c>
      <c r="K12" s="1">
        <f>K11</f>
        <v>122.04654678839142</v>
      </c>
      <c r="L12" s="2">
        <f t="shared" si="4"/>
        <v>3.1949090245286513E-5</v>
      </c>
      <c r="M12" s="1">
        <f>M11</f>
        <v>293074.23343578668</v>
      </c>
      <c r="N12" s="2">
        <f t="shared" si="5"/>
        <v>7.6720361034407644E-2</v>
      </c>
      <c r="O12" s="1">
        <f>O11</f>
        <v>52467.539699846326</v>
      </c>
      <c r="P12" s="2">
        <f t="shared" si="6"/>
        <v>1.3734843016287497E-2</v>
      </c>
      <c r="Q12" s="1">
        <f t="shared" si="0"/>
        <v>3820031.9899999993</v>
      </c>
      <c r="R12" s="2">
        <f t="shared" si="1"/>
        <v>0.99999999999999978</v>
      </c>
    </row>
    <row r="13" spans="1:18" x14ac:dyDescent="0.25">
      <c r="A13" s="3">
        <v>43109</v>
      </c>
      <c r="B13" t="s">
        <v>64</v>
      </c>
      <c r="C13" s="1">
        <v>-2927.54</v>
      </c>
      <c r="D13" s="1">
        <f t="shared" si="7"/>
        <v>93489.400000000038</v>
      </c>
      <c r="E13" s="1">
        <f t="shared" si="8"/>
        <v>3723615.05</v>
      </c>
      <c r="F13" s="1">
        <f t="shared" si="9"/>
        <v>3817104.4499999997</v>
      </c>
      <c r="G13" s="1">
        <f>G12</f>
        <v>2425122.6125855194</v>
      </c>
      <c r="H13" s="2">
        <f t="shared" si="2"/>
        <v>0.63533043026515024</v>
      </c>
      <c r="I13" s="1">
        <f>I12+C13</f>
        <v>1046318.0177320582</v>
      </c>
      <c r="J13" s="2">
        <f t="shared" si="3"/>
        <v>0.2741130171934536</v>
      </c>
      <c r="K13" s="1">
        <f>K12</f>
        <v>122.04654678839142</v>
      </c>
      <c r="L13" s="2">
        <f t="shared" si="4"/>
        <v>3.1973593698331057E-5</v>
      </c>
      <c r="M13" s="1">
        <f>M12</f>
        <v>293074.23343578668</v>
      </c>
      <c r="N13" s="2">
        <f t="shared" si="5"/>
        <v>7.6779201951308065E-2</v>
      </c>
      <c r="O13" s="1">
        <f>O12</f>
        <v>52467.539699846326</v>
      </c>
      <c r="P13" s="2">
        <f t="shared" si="6"/>
        <v>1.3745376996389587E-2</v>
      </c>
      <c r="Q13" s="1">
        <f t="shared" si="0"/>
        <v>3817104.4499999993</v>
      </c>
      <c r="R13" s="2">
        <f t="shared" si="1"/>
        <v>0.99999999999999978</v>
      </c>
    </row>
    <row r="14" spans="1:18" x14ac:dyDescent="0.25">
      <c r="A14" s="3">
        <v>43111</v>
      </c>
      <c r="B14" t="s">
        <v>63</v>
      </c>
      <c r="C14" s="1">
        <v>-708.34</v>
      </c>
      <c r="D14" s="1">
        <f t="shared" si="7"/>
        <v>92781.060000000041</v>
      </c>
      <c r="E14" s="1">
        <f t="shared" si="8"/>
        <v>3723615.05</v>
      </c>
      <c r="F14" s="1">
        <f t="shared" si="9"/>
        <v>3816396.11</v>
      </c>
      <c r="G14" s="1">
        <f>G13+C14</f>
        <v>2424414.2725855196</v>
      </c>
      <c r="H14" s="2">
        <f t="shared" si="2"/>
        <v>0.63526274597987675</v>
      </c>
      <c r="I14" s="1">
        <f>I13</f>
        <v>1046318.0177320582</v>
      </c>
      <c r="J14" s="2">
        <f t="shared" si="3"/>
        <v>0.27416389378199479</v>
      </c>
      <c r="K14" s="1">
        <f>K13</f>
        <v>122.04654678839142</v>
      </c>
      <c r="L14" s="2">
        <f t="shared" si="4"/>
        <v>3.197952813875796E-5</v>
      </c>
      <c r="M14" s="1">
        <f>M13</f>
        <v>293074.23343578668</v>
      </c>
      <c r="N14" s="2">
        <f t="shared" si="5"/>
        <v>7.6793452510826157E-2</v>
      </c>
      <c r="O14" s="1">
        <f>O13</f>
        <v>52467.539699846326</v>
      </c>
      <c r="P14" s="2">
        <f t="shared" si="6"/>
        <v>1.3747928199163354E-2</v>
      </c>
      <c r="Q14" s="1">
        <f t="shared" si="0"/>
        <v>3816396.1099999994</v>
      </c>
      <c r="R14" s="2">
        <f t="shared" si="1"/>
        <v>0.99999999999999978</v>
      </c>
    </row>
    <row r="15" spans="1:18" x14ac:dyDescent="0.25">
      <c r="A15" s="5">
        <v>43125</v>
      </c>
      <c r="B15" s="6" t="s">
        <v>69</v>
      </c>
      <c r="C15" s="4">
        <v>25000</v>
      </c>
      <c r="D15" s="4">
        <f t="shared" si="7"/>
        <v>117781.06000000004</v>
      </c>
      <c r="E15" s="4">
        <f t="shared" si="8"/>
        <v>3723615.05</v>
      </c>
      <c r="F15" s="4">
        <f t="shared" si="9"/>
        <v>3841396.11</v>
      </c>
      <c r="G15" s="4">
        <f t="shared" si="10"/>
        <v>2440295.8412350165</v>
      </c>
      <c r="H15" s="7">
        <f t="shared" si="2"/>
        <v>0.63526274597987675</v>
      </c>
      <c r="I15" s="4">
        <f t="shared" si="11"/>
        <v>1053172.115076608</v>
      </c>
      <c r="J15" s="7">
        <f t="shared" si="3"/>
        <v>0.27416389378199479</v>
      </c>
      <c r="K15" s="4">
        <f t="shared" si="12"/>
        <v>122.84603499186038</v>
      </c>
      <c r="L15" s="7">
        <f t="shared" si="4"/>
        <v>3.1979528138757967E-5</v>
      </c>
      <c r="M15" s="4">
        <f t="shared" si="13"/>
        <v>294994.06974855735</v>
      </c>
      <c r="N15" s="7">
        <f t="shared" si="5"/>
        <v>7.6793452510826157E-2</v>
      </c>
      <c r="O15" s="4">
        <f t="shared" si="14"/>
        <v>52811.237904825408</v>
      </c>
      <c r="P15" s="7">
        <f t="shared" si="6"/>
        <v>1.3747928199163354E-2</v>
      </c>
      <c r="Q15" s="4">
        <f t="shared" si="0"/>
        <v>3841396.1099999989</v>
      </c>
      <c r="R15" s="7">
        <f t="shared" si="1"/>
        <v>0.99999999999999978</v>
      </c>
    </row>
    <row r="16" spans="1:18" x14ac:dyDescent="0.25">
      <c r="A16" s="3">
        <v>43126</v>
      </c>
      <c r="B16" t="s">
        <v>70</v>
      </c>
      <c r="C16" s="1">
        <v>-57435.57</v>
      </c>
      <c r="D16" s="1">
        <f t="shared" si="7"/>
        <v>60345.490000000042</v>
      </c>
      <c r="E16" s="1">
        <f t="shared" si="8"/>
        <v>3723615.05</v>
      </c>
      <c r="F16" s="1">
        <f t="shared" si="9"/>
        <v>3783960.54</v>
      </c>
      <c r="G16" s="1">
        <f>G15+C16</f>
        <v>2382860.2712350166</v>
      </c>
      <c r="H16" s="2">
        <f t="shared" si="2"/>
        <v>0.62972651169216909</v>
      </c>
      <c r="I16" s="1">
        <f>I15</f>
        <v>1053172.115076608</v>
      </c>
      <c r="J16" s="2">
        <f t="shared" si="3"/>
        <v>0.27832534296898559</v>
      </c>
      <c r="K16" s="1">
        <f t="shared" ref="K16:K25" si="15">K15</f>
        <v>122.84603499186038</v>
      </c>
      <c r="L16" s="2">
        <f t="shared" si="4"/>
        <v>3.2464935533355319E-5</v>
      </c>
      <c r="M16" s="1">
        <f t="shared" ref="M16:M25" si="16">M15</f>
        <v>294994.06974855735</v>
      </c>
      <c r="N16" s="2">
        <f t="shared" si="5"/>
        <v>7.7959076642104025E-2</v>
      </c>
      <c r="O16" s="1">
        <f t="shared" ref="O16:O25" si="17">O15</f>
        <v>52811.237904825408</v>
      </c>
      <c r="P16" s="2">
        <f t="shared" si="6"/>
        <v>1.395660376120767E-2</v>
      </c>
      <c r="Q16" s="1">
        <f t="shared" si="0"/>
        <v>3783960.5399999991</v>
      </c>
      <c r="R16" s="2">
        <f t="shared" si="1"/>
        <v>0.99999999999999967</v>
      </c>
    </row>
    <row r="17" spans="1:18" x14ac:dyDescent="0.25">
      <c r="A17" s="3">
        <v>43129</v>
      </c>
      <c r="B17" t="s">
        <v>71</v>
      </c>
      <c r="C17" s="1">
        <v>-43202.080000000002</v>
      </c>
      <c r="D17" s="1">
        <f t="shared" si="7"/>
        <v>17143.41000000004</v>
      </c>
      <c r="E17" s="1">
        <f t="shared" si="8"/>
        <v>3723615.05</v>
      </c>
      <c r="F17" s="1">
        <f t="shared" si="9"/>
        <v>3740758.46</v>
      </c>
      <c r="G17" s="1">
        <f>G16+C17</f>
        <v>2339658.1912350166</v>
      </c>
      <c r="H17" s="2">
        <f t="shared" si="2"/>
        <v>0.62545021718269844</v>
      </c>
      <c r="I17" s="1">
        <f>I16</f>
        <v>1053172.115076608</v>
      </c>
      <c r="J17" s="2">
        <f t="shared" si="3"/>
        <v>0.28153972685972567</v>
      </c>
      <c r="K17" s="1">
        <f t="shared" si="15"/>
        <v>122.84603499186038</v>
      </c>
      <c r="L17" s="2">
        <f t="shared" si="4"/>
        <v>3.2839873599286168E-5</v>
      </c>
      <c r="M17" s="1">
        <f t="shared" si="16"/>
        <v>294994.06974855735</v>
      </c>
      <c r="N17" s="2">
        <f t="shared" si="5"/>
        <v>7.8859427280038114E-2</v>
      </c>
      <c r="O17" s="1">
        <f t="shared" si="17"/>
        <v>52811.237904825408</v>
      </c>
      <c r="P17" s="2">
        <f t="shared" si="6"/>
        <v>1.4117788803938281E-2</v>
      </c>
      <c r="Q17" s="1">
        <f t="shared" si="0"/>
        <v>3740758.459999999</v>
      </c>
      <c r="R17" s="2">
        <f t="shared" si="1"/>
        <v>0.99999999999999978</v>
      </c>
    </row>
    <row r="18" spans="1:18" x14ac:dyDescent="0.25">
      <c r="A18" s="3">
        <v>43129</v>
      </c>
      <c r="B18" t="s">
        <v>72</v>
      </c>
      <c r="C18" s="1">
        <v>-70.69</v>
      </c>
      <c r="D18" s="1">
        <f t="shared" si="7"/>
        <v>17072.720000000041</v>
      </c>
      <c r="E18" s="1">
        <f t="shared" si="8"/>
        <v>3723615.05</v>
      </c>
      <c r="F18" s="1">
        <f t="shared" si="9"/>
        <v>3740687.77</v>
      </c>
      <c r="G18" s="1">
        <f>G17+C18</f>
        <v>2339587.5012350166</v>
      </c>
      <c r="H18" s="2">
        <f t="shared" si="2"/>
        <v>0.62544313909284566</v>
      </c>
      <c r="I18" s="1">
        <f>I17</f>
        <v>1053172.115076608</v>
      </c>
      <c r="J18" s="2">
        <f t="shared" si="3"/>
        <v>0.28154504728327218</v>
      </c>
      <c r="K18" s="1">
        <f t="shared" si="15"/>
        <v>122.84603499186038</v>
      </c>
      <c r="L18" s="2">
        <f t="shared" si="4"/>
        <v>3.2840494193895358E-5</v>
      </c>
      <c r="M18" s="1">
        <f t="shared" si="16"/>
        <v>294994.06974855735</v>
      </c>
      <c r="N18" s="2">
        <f t="shared" si="5"/>
        <v>7.8860917533504105E-2</v>
      </c>
      <c r="O18" s="1">
        <f t="shared" si="17"/>
        <v>52811.237904825408</v>
      </c>
      <c r="P18" s="2">
        <f t="shared" si="6"/>
        <v>1.4118055596183962E-2</v>
      </c>
      <c r="Q18" s="1">
        <f t="shared" si="0"/>
        <v>3740687.7699999991</v>
      </c>
      <c r="R18" s="2">
        <f t="shared" si="1"/>
        <v>0.99999999999999978</v>
      </c>
    </row>
    <row r="19" spans="1:18" x14ac:dyDescent="0.25">
      <c r="A19" s="3">
        <v>43145</v>
      </c>
      <c r="B19" t="s">
        <v>71</v>
      </c>
      <c r="C19" s="1">
        <v>-201.76</v>
      </c>
      <c r="D19" s="1">
        <f t="shared" si="7"/>
        <v>16870.960000000043</v>
      </c>
      <c r="E19" s="1">
        <f t="shared" si="8"/>
        <v>3723615.05</v>
      </c>
      <c r="F19" s="1">
        <f t="shared" si="9"/>
        <v>3740486.01</v>
      </c>
      <c r="G19" s="1">
        <f>G18+C19</f>
        <v>2339385.7412350168</v>
      </c>
      <c r="H19" s="2">
        <f t="shared" si="2"/>
        <v>0.62542293567755303</v>
      </c>
      <c r="I19" s="1">
        <f>I18</f>
        <v>1053172.115076608</v>
      </c>
      <c r="J19" s="2">
        <f t="shared" si="3"/>
        <v>0.2815602336864797</v>
      </c>
      <c r="K19" s="1">
        <f t="shared" si="15"/>
        <v>122.84603499186038</v>
      </c>
      <c r="L19" s="2">
        <f t="shared" si="4"/>
        <v>3.2842265594213623E-5</v>
      </c>
      <c r="M19" s="1">
        <f t="shared" si="16"/>
        <v>294994.06974855735</v>
      </c>
      <c r="N19" s="2">
        <f t="shared" si="5"/>
        <v>7.8865171253122091E-2</v>
      </c>
      <c r="O19" s="1">
        <f t="shared" si="17"/>
        <v>52811.237904825408</v>
      </c>
      <c r="P19" s="2">
        <f t="shared" si="6"/>
        <v>1.4118817117250871E-2</v>
      </c>
      <c r="Q19" s="1">
        <f t="shared" si="0"/>
        <v>3740486.0099999993</v>
      </c>
      <c r="R19" s="2">
        <f t="shared" si="1"/>
        <v>0.99999999999999978</v>
      </c>
    </row>
    <row r="20" spans="1:18" x14ac:dyDescent="0.25">
      <c r="A20" s="3">
        <v>43145</v>
      </c>
      <c r="B20" t="s">
        <v>73</v>
      </c>
      <c r="C20" s="1">
        <v>-1822.06</v>
      </c>
      <c r="D20" s="1">
        <f t="shared" si="7"/>
        <v>15048.900000000043</v>
      </c>
      <c r="E20" s="1">
        <f t="shared" si="8"/>
        <v>3723615.05</v>
      </c>
      <c r="F20" s="1">
        <f t="shared" si="9"/>
        <v>3738663.9499999997</v>
      </c>
      <c r="G20" s="1">
        <f>G19</f>
        <v>2339385.7412350168</v>
      </c>
      <c r="H20" s="2">
        <f t="shared" si="2"/>
        <v>0.62572773924626657</v>
      </c>
      <c r="I20" s="1">
        <f>I19+C20</f>
        <v>1051350.055076608</v>
      </c>
      <c r="J20" s="2">
        <f t="shared" si="3"/>
        <v>0.28121009781491807</v>
      </c>
      <c r="K20" s="1">
        <f t="shared" si="15"/>
        <v>122.84603499186038</v>
      </c>
      <c r="L20" s="2">
        <f t="shared" si="4"/>
        <v>3.2858271466698787E-5</v>
      </c>
      <c r="M20" s="1">
        <f t="shared" si="16"/>
        <v>294994.06974855735</v>
      </c>
      <c r="N20" s="2">
        <f t="shared" si="5"/>
        <v>7.8903606661025888E-2</v>
      </c>
      <c r="O20" s="1">
        <f t="shared" si="17"/>
        <v>52811.237904825408</v>
      </c>
      <c r="P20" s="2">
        <f t="shared" si="6"/>
        <v>1.4125698006322664E-2</v>
      </c>
      <c r="Q20" s="1">
        <f t="shared" si="0"/>
        <v>3738663.9499999993</v>
      </c>
      <c r="R20" s="2">
        <f t="shared" si="1"/>
        <v>1</v>
      </c>
    </row>
    <row r="21" spans="1:18" x14ac:dyDescent="0.25">
      <c r="A21" s="3">
        <v>43145</v>
      </c>
      <c r="B21" t="s">
        <v>73</v>
      </c>
      <c r="C21" s="1">
        <v>-1822.47</v>
      </c>
      <c r="D21" s="1">
        <f t="shared" si="7"/>
        <v>13226.430000000044</v>
      </c>
      <c r="E21" s="1">
        <f t="shared" si="8"/>
        <v>3723615.05</v>
      </c>
      <c r="F21" s="1">
        <f t="shared" si="9"/>
        <v>3736841.48</v>
      </c>
      <c r="G21" s="1">
        <f>G20</f>
        <v>2339385.7412350168</v>
      </c>
      <c r="H21" s="2">
        <f t="shared" si="2"/>
        <v>0.6260329087427644</v>
      </c>
      <c r="I21" s="1">
        <f>I20+C21</f>
        <v>1049527.585076608</v>
      </c>
      <c r="J21" s="2">
        <f t="shared" si="3"/>
        <v>0.28085954159249166</v>
      </c>
      <c r="K21" s="1">
        <f t="shared" si="15"/>
        <v>122.84603499186038</v>
      </c>
      <c r="L21" s="2">
        <f t="shared" si="4"/>
        <v>3.2874296554816766E-5</v>
      </c>
      <c r="M21" s="1">
        <f t="shared" si="16"/>
        <v>294994.06974855735</v>
      </c>
      <c r="N21" s="2">
        <f t="shared" si="5"/>
        <v>7.894208821203659E-2</v>
      </c>
      <c r="O21" s="1">
        <f t="shared" si="17"/>
        <v>52811.237904825408</v>
      </c>
      <c r="P21" s="2">
        <f t="shared" si="6"/>
        <v>1.4132587156152369E-2</v>
      </c>
      <c r="Q21" s="1">
        <f t="shared" si="0"/>
        <v>3736841.4799999991</v>
      </c>
      <c r="R21" s="2">
        <f t="shared" si="1"/>
        <v>0.99999999999999989</v>
      </c>
    </row>
    <row r="22" spans="1:18" x14ac:dyDescent="0.25">
      <c r="A22" s="3">
        <v>43146</v>
      </c>
      <c r="B22" t="s">
        <v>64</v>
      </c>
      <c r="C22" s="1">
        <v>-2927.53</v>
      </c>
      <c r="D22" s="1">
        <f t="shared" si="7"/>
        <v>10298.900000000043</v>
      </c>
      <c r="E22" s="1">
        <f t="shared" si="8"/>
        <v>3723615.05</v>
      </c>
      <c r="F22" s="1">
        <f t="shared" si="9"/>
        <v>3733913.9499999997</v>
      </c>
      <c r="G22" s="1">
        <f>G21</f>
        <v>2339385.7412350168</v>
      </c>
      <c r="H22" s="2">
        <f t="shared" si="2"/>
        <v>0.62652374226112439</v>
      </c>
      <c r="I22" s="1">
        <f>I21+C22</f>
        <v>1046600.055076608</v>
      </c>
      <c r="J22" s="2">
        <f t="shared" si="3"/>
        <v>0.28029570822771854</v>
      </c>
      <c r="K22" s="1">
        <f t="shared" si="15"/>
        <v>122.84603499186038</v>
      </c>
      <c r="L22" s="2">
        <f t="shared" si="4"/>
        <v>3.2900071248792538E-5</v>
      </c>
      <c r="M22" s="1">
        <f t="shared" si="16"/>
        <v>294994.06974855735</v>
      </c>
      <c r="N22" s="2">
        <f t="shared" si="5"/>
        <v>7.9003981799997652E-2</v>
      </c>
      <c r="O22" s="1">
        <f t="shared" si="17"/>
        <v>52811.237904825408</v>
      </c>
      <c r="P22" s="2">
        <f t="shared" si="6"/>
        <v>1.4143667639910505E-2</v>
      </c>
      <c r="Q22" s="1">
        <f t="shared" si="0"/>
        <v>3733913.9499999993</v>
      </c>
      <c r="R22" s="2">
        <f t="shared" si="1"/>
        <v>0.99999999999999989</v>
      </c>
    </row>
    <row r="23" spans="1:18" x14ac:dyDescent="0.25">
      <c r="A23" s="3">
        <v>43146</v>
      </c>
      <c r="B23" t="s">
        <v>73</v>
      </c>
      <c r="C23" s="1">
        <v>-1822.47</v>
      </c>
      <c r="D23" s="1">
        <f t="shared" si="7"/>
        <v>8476.4300000000439</v>
      </c>
      <c r="E23" s="1">
        <f t="shared" si="8"/>
        <v>3723615.05</v>
      </c>
      <c r="F23" s="1">
        <f t="shared" si="9"/>
        <v>3732091.48</v>
      </c>
      <c r="G23" s="1">
        <f>G22</f>
        <v>2339385.7412350168</v>
      </c>
      <c r="H23" s="2">
        <f t="shared" si="2"/>
        <v>0.62682968886792045</v>
      </c>
      <c r="I23" s="1">
        <f>I22+C23</f>
        <v>1044777.585076608</v>
      </c>
      <c r="J23" s="2">
        <f t="shared" si="3"/>
        <v>0.27994425931826517</v>
      </c>
      <c r="K23" s="1">
        <f t="shared" si="15"/>
        <v>122.84603499186038</v>
      </c>
      <c r="L23" s="2">
        <f t="shared" si="4"/>
        <v>3.291613714459657E-5</v>
      </c>
      <c r="M23" s="1">
        <f t="shared" si="16"/>
        <v>294994.06974855735</v>
      </c>
      <c r="N23" s="2">
        <f t="shared" si="5"/>
        <v>7.9042561343795711E-2</v>
      </c>
      <c r="O23" s="1">
        <f t="shared" si="17"/>
        <v>52811.237904825408</v>
      </c>
      <c r="P23" s="2">
        <f t="shared" si="6"/>
        <v>1.4150574332873912E-2</v>
      </c>
      <c r="Q23" s="1">
        <f t="shared" si="0"/>
        <v>3732091.4799999991</v>
      </c>
      <c r="R23" s="2">
        <f t="shared" si="1"/>
        <v>0.99999999999999989</v>
      </c>
    </row>
    <row r="24" spans="1:18" x14ac:dyDescent="0.25">
      <c r="A24" s="3">
        <v>43146</v>
      </c>
      <c r="B24" t="s">
        <v>70</v>
      </c>
      <c r="C24" s="1">
        <v>-708.33</v>
      </c>
      <c r="D24" s="1">
        <f t="shared" si="7"/>
        <v>7768.100000000044</v>
      </c>
      <c r="E24" s="1">
        <f t="shared" si="8"/>
        <v>3723615.05</v>
      </c>
      <c r="F24" s="1">
        <f t="shared" si="9"/>
        <v>3731383.15</v>
      </c>
      <c r="G24" s="1">
        <f>G23+C24</f>
        <v>2338677.4112350168</v>
      </c>
      <c r="H24" s="2">
        <f t="shared" si="2"/>
        <v>0.62675884979408159</v>
      </c>
      <c r="I24" s="1">
        <f>I23</f>
        <v>1044777.585076608</v>
      </c>
      <c r="J24" s="2">
        <f t="shared" si="3"/>
        <v>0.2799974012522965</v>
      </c>
      <c r="K24" s="1">
        <f t="shared" si="15"/>
        <v>122.84603499186038</v>
      </c>
      <c r="L24" s="2">
        <f t="shared" si="4"/>
        <v>3.292238562846605E-5</v>
      </c>
      <c r="M24" s="1">
        <f t="shared" si="16"/>
        <v>294994.06974855735</v>
      </c>
      <c r="N24" s="2">
        <f t="shared" si="5"/>
        <v>7.905756602576644E-2</v>
      </c>
      <c r="O24" s="1">
        <f t="shared" si="17"/>
        <v>52811.237904825408</v>
      </c>
      <c r="P24" s="2">
        <f t="shared" si="6"/>
        <v>1.4153260542226924E-2</v>
      </c>
      <c r="Q24" s="1">
        <f t="shared" si="0"/>
        <v>3731383.149999999</v>
      </c>
      <c r="R24" s="2">
        <f t="shared" si="1"/>
        <v>0.99999999999999978</v>
      </c>
    </row>
    <row r="25" spans="1:18" x14ac:dyDescent="0.25">
      <c r="A25" s="3">
        <v>43146</v>
      </c>
      <c r="B25" t="s">
        <v>71</v>
      </c>
      <c r="C25" s="1">
        <v>-202.67</v>
      </c>
      <c r="D25" s="1">
        <f t="shared" si="7"/>
        <v>7565.4300000000439</v>
      </c>
      <c r="E25" s="1">
        <f t="shared" si="8"/>
        <v>3723615.05</v>
      </c>
      <c r="F25" s="1">
        <f t="shared" si="9"/>
        <v>3731180.48</v>
      </c>
      <c r="G25" s="1">
        <f>G24+C25</f>
        <v>2338474.7412350168</v>
      </c>
      <c r="H25" s="2">
        <f t="shared" si="2"/>
        <v>0.62673857610742456</v>
      </c>
      <c r="I25" s="1">
        <f>I24</f>
        <v>1044777.585076608</v>
      </c>
      <c r="J25" s="2">
        <f t="shared" si="3"/>
        <v>0.28001261013152812</v>
      </c>
      <c r="K25" s="1">
        <f t="shared" si="15"/>
        <v>122.84603499186038</v>
      </c>
      <c r="L25" s="2">
        <f t="shared" si="4"/>
        <v>3.2924173904302903E-5</v>
      </c>
      <c r="M25" s="1">
        <f t="shared" si="16"/>
        <v>294994.06974855735</v>
      </c>
      <c r="N25" s="2">
        <f t="shared" si="5"/>
        <v>7.9061860269101045E-2</v>
      </c>
      <c r="O25" s="1">
        <f t="shared" si="17"/>
        <v>52811.237904825408</v>
      </c>
      <c r="P25" s="2">
        <f t="shared" si="6"/>
        <v>1.4154029318041836E-2</v>
      </c>
      <c r="Q25" s="1">
        <f t="shared" si="0"/>
        <v>3731180.4799999991</v>
      </c>
      <c r="R25" s="2">
        <f t="shared" si="1"/>
        <v>0.99999999999999989</v>
      </c>
    </row>
    <row r="26" spans="1:18" x14ac:dyDescent="0.25">
      <c r="A26" s="3">
        <v>43161</v>
      </c>
      <c r="B26" t="s">
        <v>74</v>
      </c>
      <c r="C26" s="1">
        <v>-1500</v>
      </c>
      <c r="D26" s="1">
        <f t="shared" si="7"/>
        <v>6065.4300000000439</v>
      </c>
      <c r="E26" s="1">
        <f t="shared" si="8"/>
        <v>3723615.05</v>
      </c>
      <c r="F26" s="1">
        <f t="shared" si="9"/>
        <v>3729680.48</v>
      </c>
      <c r="G26" s="1">
        <f t="shared" si="10"/>
        <v>2337534.6333708558</v>
      </c>
      <c r="H26" s="2">
        <f t="shared" si="2"/>
        <v>0.62673857610742456</v>
      </c>
      <c r="I26" s="1">
        <f t="shared" si="11"/>
        <v>1044357.5661614107</v>
      </c>
      <c r="J26" s="2">
        <f t="shared" si="3"/>
        <v>0.28001261013152812</v>
      </c>
      <c r="K26" s="1">
        <f t="shared" si="12"/>
        <v>122.79664873100393</v>
      </c>
      <c r="L26" s="2">
        <f t="shared" si="4"/>
        <v>3.2924173904302903E-5</v>
      </c>
      <c r="M26" s="1">
        <f t="shared" si="13"/>
        <v>294875.47695815371</v>
      </c>
      <c r="N26" s="2">
        <f t="shared" si="5"/>
        <v>7.9061860269101045E-2</v>
      </c>
      <c r="O26" s="1">
        <f t="shared" si="14"/>
        <v>52790.006860848342</v>
      </c>
      <c r="P26" s="2">
        <f t="shared" si="6"/>
        <v>1.4154029318041834E-2</v>
      </c>
      <c r="Q26" s="1">
        <f t="shared" si="0"/>
        <v>3729680.48</v>
      </c>
      <c r="R26" s="2">
        <f t="shared" si="1"/>
        <v>0.99999999999999989</v>
      </c>
    </row>
    <row r="27" spans="1:18" s="6" customFormat="1" x14ac:dyDescent="0.25">
      <c r="A27" s="5">
        <v>43175</v>
      </c>
      <c r="B27" s="6" t="s">
        <v>88</v>
      </c>
      <c r="C27" s="4">
        <v>20771.88</v>
      </c>
      <c r="D27" s="4">
        <f t="shared" si="7"/>
        <v>26837.310000000045</v>
      </c>
      <c r="E27" s="4">
        <f t="shared" si="8"/>
        <v>3723615.05</v>
      </c>
      <c r="F27" s="4">
        <f t="shared" si="9"/>
        <v>3750452.36</v>
      </c>
      <c r="G27" s="4">
        <f t="shared" si="10"/>
        <v>2350553.1718651303</v>
      </c>
      <c r="H27" s="7">
        <f t="shared" si="2"/>
        <v>0.62673857610742467</v>
      </c>
      <c r="I27" s="4">
        <f t="shared" si="11"/>
        <v>1050173.9544975495</v>
      </c>
      <c r="J27" s="7">
        <f t="shared" si="3"/>
        <v>0.28001261013152812</v>
      </c>
      <c r="K27" s="4">
        <f t="shared" si="12"/>
        <v>123.48054572044323</v>
      </c>
      <c r="L27" s="7">
        <f t="shared" si="4"/>
        <v>3.2924173904302903E-5</v>
      </c>
      <c r="M27" s="4">
        <f t="shared" si="13"/>
        <v>296517.74043224024</v>
      </c>
      <c r="N27" s="7">
        <f t="shared" si="5"/>
        <v>7.9061860269101045E-2</v>
      </c>
      <c r="O27" s="4">
        <f t="shared" si="14"/>
        <v>53084.012659359185</v>
      </c>
      <c r="P27" s="7">
        <f t="shared" si="6"/>
        <v>1.4154029318041834E-2</v>
      </c>
      <c r="Q27" s="4">
        <f t="shared" si="0"/>
        <v>3750452.3599999994</v>
      </c>
      <c r="R27" s="7">
        <f t="shared" si="1"/>
        <v>1</v>
      </c>
    </row>
    <row r="28" spans="1:18" x14ac:dyDescent="0.25">
      <c r="A28" s="3">
        <v>43179</v>
      </c>
      <c r="B28" t="s">
        <v>64</v>
      </c>
      <c r="C28" s="1">
        <v>-2927.53</v>
      </c>
      <c r="D28" s="1">
        <f t="shared" si="7"/>
        <v>23909.780000000046</v>
      </c>
      <c r="E28" s="1">
        <f t="shared" si="8"/>
        <v>3723615.05</v>
      </c>
      <c r="F28" s="1">
        <f t="shared" si="9"/>
        <v>3747524.83</v>
      </c>
      <c r="G28" s="1">
        <f>G27</f>
        <v>2350553.1718651303</v>
      </c>
      <c r="H28" s="2">
        <f t="shared" si="2"/>
        <v>0.6272281781959882</v>
      </c>
      <c r="I28" s="1">
        <f>I27+C28</f>
        <v>1047246.4244975494</v>
      </c>
      <c r="J28" s="2">
        <f t="shared" si="3"/>
        <v>0.27945016297531761</v>
      </c>
      <c r="K28" s="1">
        <f>K27</f>
        <v>123.48054572044323</v>
      </c>
      <c r="L28" s="2">
        <f t="shared" si="4"/>
        <v>3.2949893949186519E-5</v>
      </c>
      <c r="M28" s="1">
        <f>M27</f>
        <v>296517.74043224024</v>
      </c>
      <c r="N28" s="2">
        <f t="shared" si="5"/>
        <v>7.9123622626468423E-2</v>
      </c>
      <c r="O28" s="1">
        <f>O27</f>
        <v>53084.012659359185</v>
      </c>
      <c r="P28" s="2">
        <f t="shared" si="6"/>
        <v>1.4165086308276491E-2</v>
      </c>
      <c r="Q28" s="1">
        <f t="shared" si="0"/>
        <v>3747524.8299999996</v>
      </c>
      <c r="R28" s="2">
        <f t="shared" si="1"/>
        <v>0.99999999999999989</v>
      </c>
    </row>
    <row r="29" spans="1:18" x14ac:dyDescent="0.25">
      <c r="A29" s="3">
        <v>43179</v>
      </c>
      <c r="B29" t="s">
        <v>73</v>
      </c>
      <c r="C29" s="1">
        <v>-1822.47</v>
      </c>
      <c r="D29" s="1">
        <f t="shared" si="7"/>
        <v>22087.310000000045</v>
      </c>
      <c r="E29" s="1">
        <f t="shared" si="8"/>
        <v>3723615.05</v>
      </c>
      <c r="F29" s="1">
        <f t="shared" si="9"/>
        <v>3745702.36</v>
      </c>
      <c r="G29" s="1">
        <f>G28</f>
        <v>2350553.1718651303</v>
      </c>
      <c r="H29" s="2">
        <f t="shared" si="2"/>
        <v>0.62753335581771386</v>
      </c>
      <c r="I29" s="1">
        <f>I28+C29</f>
        <v>1045423.9544975495</v>
      </c>
      <c r="J29" s="2">
        <f t="shared" si="3"/>
        <v>0.27909957973744326</v>
      </c>
      <c r="K29" s="1">
        <f>K28</f>
        <v>123.48054572044323</v>
      </c>
      <c r="L29" s="2">
        <f t="shared" si="4"/>
        <v>3.2965925707039689E-5</v>
      </c>
      <c r="M29" s="1">
        <f>M28</f>
        <v>296517.74043224024</v>
      </c>
      <c r="N29" s="2">
        <f t="shared" si="5"/>
        <v>7.9162120193725233E-2</v>
      </c>
      <c r="O29" s="1">
        <f>O28</f>
        <v>53084.012659359185</v>
      </c>
      <c r="P29" s="2">
        <f t="shared" si="6"/>
        <v>1.4171978325410561E-2</v>
      </c>
      <c r="Q29" s="1">
        <f t="shared" si="0"/>
        <v>3745702.3599999994</v>
      </c>
      <c r="R29" s="2">
        <f t="shared" si="1"/>
        <v>1</v>
      </c>
    </row>
    <row r="30" spans="1:18" x14ac:dyDescent="0.25">
      <c r="A30" s="3">
        <v>43179</v>
      </c>
      <c r="B30" t="s">
        <v>70</v>
      </c>
      <c r="C30" s="1">
        <v>-708.5</v>
      </c>
      <c r="D30" s="1">
        <f t="shared" si="7"/>
        <v>21378.810000000045</v>
      </c>
      <c r="E30" s="1">
        <f t="shared" si="8"/>
        <v>3723615.05</v>
      </c>
      <c r="F30" s="1">
        <f t="shared" si="9"/>
        <v>3744993.86</v>
      </c>
      <c r="G30" s="1">
        <f>G29+C30</f>
        <v>2349844.6718651303</v>
      </c>
      <c r="H30" s="2">
        <f t="shared" si="2"/>
        <v>0.62746289038378567</v>
      </c>
      <c r="I30" s="1">
        <f>I29</f>
        <v>1045423.9544975495</v>
      </c>
      <c r="J30" s="2">
        <f t="shared" si="3"/>
        <v>0.27915238144009918</v>
      </c>
      <c r="K30" s="1">
        <f>K29</f>
        <v>123.48054572044323</v>
      </c>
      <c r="L30" s="2">
        <f t="shared" si="4"/>
        <v>3.297216239506551E-5</v>
      </c>
      <c r="M30" s="1">
        <f>M29</f>
        <v>296517.74043224024</v>
      </c>
      <c r="N30" s="2">
        <f t="shared" si="5"/>
        <v>7.9177096549963438E-2</v>
      </c>
      <c r="O30" s="1">
        <f>O29</f>
        <v>53084.012659359185</v>
      </c>
      <c r="P30" s="2">
        <f t="shared" si="6"/>
        <v>1.4174659463756553E-2</v>
      </c>
      <c r="Q30" s="1">
        <f t="shared" si="0"/>
        <v>3744993.8599999994</v>
      </c>
      <c r="R30" s="2">
        <f t="shared" si="1"/>
        <v>0.99999999999999989</v>
      </c>
    </row>
    <row r="31" spans="1:18" x14ac:dyDescent="0.25">
      <c r="A31" s="3">
        <v>43179</v>
      </c>
      <c r="B31" t="s">
        <v>71</v>
      </c>
      <c r="C31" s="1">
        <v>-708.5</v>
      </c>
      <c r="D31" s="1">
        <f t="shared" si="7"/>
        <v>20670.310000000045</v>
      </c>
      <c r="E31" s="1">
        <f t="shared" si="8"/>
        <v>3723615.05</v>
      </c>
      <c r="F31" s="1">
        <f t="shared" si="9"/>
        <v>3744285.36</v>
      </c>
      <c r="G31" s="1">
        <f>G30+C31</f>
        <v>2349136.1718651303</v>
      </c>
      <c r="H31" s="2">
        <f t="shared" si="2"/>
        <v>0.62739239828268067</v>
      </c>
      <c r="I31" s="1">
        <f>I30</f>
        <v>1045423.9544975495</v>
      </c>
      <c r="J31" s="2">
        <f t="shared" si="3"/>
        <v>0.27920520312520986</v>
      </c>
      <c r="K31" s="1">
        <f>K30</f>
        <v>123.48054572044323</v>
      </c>
      <c r="L31" s="2">
        <f t="shared" si="4"/>
        <v>3.2978401443324616E-5</v>
      </c>
      <c r="M31" s="1">
        <f>M30</f>
        <v>296517.74043224024</v>
      </c>
      <c r="N31" s="2">
        <f t="shared" si="5"/>
        <v>7.9192078573904492E-2</v>
      </c>
      <c r="O31" s="1">
        <f>O30</f>
        <v>53084.012659359185</v>
      </c>
      <c r="P31" s="2">
        <f t="shared" si="6"/>
        <v>1.41773416167616E-2</v>
      </c>
      <c r="Q31" s="1">
        <f t="shared" si="0"/>
        <v>3744285.3599999994</v>
      </c>
      <c r="R31" s="2">
        <f t="shared" si="1"/>
        <v>1</v>
      </c>
    </row>
    <row r="32" spans="1:18" x14ac:dyDescent="0.25">
      <c r="A32" s="3">
        <v>43193</v>
      </c>
      <c r="B32" t="s">
        <v>74</v>
      </c>
      <c r="C32" s="1">
        <v>-1500</v>
      </c>
      <c r="D32" s="1">
        <f t="shared" si="7"/>
        <v>19170.310000000045</v>
      </c>
      <c r="E32" s="1">
        <f t="shared" si="8"/>
        <v>3723615.05</v>
      </c>
      <c r="F32" s="1">
        <f t="shared" si="9"/>
        <v>3742785.36</v>
      </c>
      <c r="G32" s="1">
        <f t="shared" si="10"/>
        <v>2348195.0832677064</v>
      </c>
      <c r="H32" s="2">
        <f t="shared" si="2"/>
        <v>0.62739239828268067</v>
      </c>
      <c r="I32" s="1">
        <f t="shared" si="11"/>
        <v>1045005.1466928617</v>
      </c>
      <c r="J32" s="2">
        <f t="shared" si="3"/>
        <v>0.27920520312520986</v>
      </c>
      <c r="K32" s="1">
        <f t="shared" si="12"/>
        <v>123.43107811827825</v>
      </c>
      <c r="L32" s="2">
        <f t="shared" si="4"/>
        <v>3.2978401443324622E-5</v>
      </c>
      <c r="M32" s="1">
        <f>M31+(N31*C32)</f>
        <v>296398.95231437939</v>
      </c>
      <c r="N32" s="2">
        <f t="shared" si="5"/>
        <v>7.9192078573904492E-2</v>
      </c>
      <c r="O32" s="1">
        <f t="shared" si="14"/>
        <v>53062.746646934043</v>
      </c>
      <c r="P32" s="2">
        <f t="shared" si="6"/>
        <v>1.41773416167616E-2</v>
      </c>
      <c r="Q32" s="1">
        <f t="shared" si="0"/>
        <v>3742785.3600000003</v>
      </c>
      <c r="R32" s="2">
        <f t="shared" si="1"/>
        <v>1</v>
      </c>
    </row>
    <row r="33" spans="1:18" x14ac:dyDescent="0.25">
      <c r="A33" s="3">
        <v>43202</v>
      </c>
      <c r="B33" t="s">
        <v>64</v>
      </c>
      <c r="C33" s="1">
        <v>-2944.6</v>
      </c>
      <c r="D33" s="1">
        <f t="shared" si="7"/>
        <v>16225.710000000045</v>
      </c>
      <c r="E33" s="1">
        <f t="shared" si="8"/>
        <v>3723615.05</v>
      </c>
      <c r="F33" s="1">
        <f t="shared" si="9"/>
        <v>3739840.76</v>
      </c>
      <c r="G33" s="1">
        <f>G32</f>
        <v>2348195.0832677064</v>
      </c>
      <c r="H33" s="2">
        <f t="shared" si="2"/>
        <v>0.62788638179014511</v>
      </c>
      <c r="I33" s="1">
        <f>I32+C33</f>
        <v>1042060.5466928617</v>
      </c>
      <c r="J33" s="2">
        <f t="shared" si="3"/>
        <v>0.27863767833068426</v>
      </c>
      <c r="K33" s="1">
        <f>K32</f>
        <v>123.43107811827825</v>
      </c>
      <c r="L33" s="2">
        <f t="shared" si="4"/>
        <v>3.3004367308483546E-5</v>
      </c>
      <c r="M33" s="1">
        <f>M32</f>
        <v>296398.95231437939</v>
      </c>
      <c r="N33" s="2">
        <f t="shared" si="5"/>
        <v>7.925443122727488E-2</v>
      </c>
      <c r="O33" s="1">
        <f>O32</f>
        <v>53062.746646934043</v>
      </c>
      <c r="P33" s="2">
        <f t="shared" si="6"/>
        <v>1.4188504284587252E-2</v>
      </c>
      <c r="Q33" s="1">
        <f t="shared" si="0"/>
        <v>3739840.76</v>
      </c>
      <c r="R33" s="2">
        <f t="shared" si="1"/>
        <v>1</v>
      </c>
    </row>
    <row r="34" spans="1:18" x14ac:dyDescent="0.25">
      <c r="A34" s="3">
        <v>43202</v>
      </c>
      <c r="B34" t="s">
        <v>73</v>
      </c>
      <c r="C34" s="1">
        <v>-1805.4</v>
      </c>
      <c r="D34" s="1">
        <f t="shared" si="7"/>
        <v>14420.310000000045</v>
      </c>
      <c r="E34" s="1">
        <f t="shared" si="8"/>
        <v>3723615.05</v>
      </c>
      <c r="F34" s="1">
        <f t="shared" si="9"/>
        <v>3738035.36</v>
      </c>
      <c r="G34" s="1">
        <f>G33</f>
        <v>2348195.0832677064</v>
      </c>
      <c r="H34" s="2">
        <f t="shared" si="2"/>
        <v>0.62818963897326707</v>
      </c>
      <c r="I34" s="1">
        <f>I33+C34</f>
        <v>1040255.1466928617</v>
      </c>
      <c r="J34" s="2">
        <f t="shared" si="3"/>
        <v>0.27828927404604908</v>
      </c>
      <c r="K34" s="1">
        <f>K33</f>
        <v>123.43107811827825</v>
      </c>
      <c r="L34" s="2">
        <f t="shared" si="4"/>
        <v>3.3020307790314285E-5</v>
      </c>
      <c r="M34" s="1">
        <f>M33</f>
        <v>296398.95231437939</v>
      </c>
      <c r="N34" s="2">
        <f t="shared" si="5"/>
        <v>7.9292709610531725E-2</v>
      </c>
      <c r="O34" s="1">
        <f>O33</f>
        <v>53062.746646934043</v>
      </c>
      <c r="P34" s="2">
        <f t="shared" si="6"/>
        <v>1.4195357062361776E-2</v>
      </c>
      <c r="Q34" s="1">
        <f t="shared" si="0"/>
        <v>3738035.3600000003</v>
      </c>
      <c r="R34" s="2">
        <f t="shared" si="1"/>
        <v>0.99999999999999989</v>
      </c>
    </row>
    <row r="35" spans="1:18" x14ac:dyDescent="0.25">
      <c r="A35" s="3">
        <v>43202</v>
      </c>
      <c r="B35" t="s">
        <v>70</v>
      </c>
      <c r="C35" s="1">
        <v>-708.5</v>
      </c>
      <c r="D35" s="1">
        <f t="shared" si="7"/>
        <v>13711.810000000045</v>
      </c>
      <c r="E35" s="1">
        <f t="shared" si="8"/>
        <v>3723615.05</v>
      </c>
      <c r="F35" s="1">
        <f t="shared" si="9"/>
        <v>3737326.86</v>
      </c>
      <c r="G35" s="1">
        <f>G34+C35</f>
        <v>2347486.5832677064</v>
      </c>
      <c r="H35" s="2">
        <f t="shared" si="2"/>
        <v>0.62811915339610047</v>
      </c>
      <c r="I35" s="1">
        <f>I34</f>
        <v>1040255.1466928617</v>
      </c>
      <c r="J35" s="2">
        <f t="shared" si="3"/>
        <v>0.2783420304567264</v>
      </c>
      <c r="K35" s="1">
        <f>K34</f>
        <v>123.43107811827825</v>
      </c>
      <c r="L35" s="2">
        <f t="shared" si="4"/>
        <v>3.3026567582124263E-5</v>
      </c>
      <c r="M35" s="1">
        <f>M34</f>
        <v>296398.95231437939</v>
      </c>
      <c r="N35" s="2">
        <f t="shared" si="5"/>
        <v>7.9307741446617647E-2</v>
      </c>
      <c r="O35" s="1">
        <f>O34</f>
        <v>53062.746646934043</v>
      </c>
      <c r="P35" s="2">
        <f t="shared" si="6"/>
        <v>1.4198048132973321E-2</v>
      </c>
      <c r="Q35" s="1">
        <f t="shared" si="0"/>
        <v>3737326.8600000003</v>
      </c>
      <c r="R35" s="2">
        <f t="shared" si="1"/>
        <v>1</v>
      </c>
    </row>
    <row r="36" spans="1:18" x14ac:dyDescent="0.25">
      <c r="A36" s="3">
        <v>43202</v>
      </c>
      <c r="B36" t="s">
        <v>71</v>
      </c>
      <c r="C36" s="1">
        <v>-708.5</v>
      </c>
      <c r="D36" s="1">
        <f t="shared" ref="D36:D50" si="18">D35+C36</f>
        <v>13003.310000000045</v>
      </c>
      <c r="E36" s="1">
        <f t="shared" ref="E36:E50" si="19">E35</f>
        <v>3723615.05</v>
      </c>
      <c r="F36" s="1">
        <f t="shared" ref="F36:F50" si="20">D36+E36</f>
        <v>3736618.36</v>
      </c>
      <c r="G36" s="1">
        <f>G35+C36</f>
        <v>2346778.0832677064</v>
      </c>
      <c r="H36" s="2">
        <f t="shared" ref="H36:H50" si="21">G36/F36</f>
        <v>0.62804864108940106</v>
      </c>
      <c r="I36" s="1">
        <f>I35</f>
        <v>1040255.1466928617</v>
      </c>
      <c r="J36" s="2">
        <f t="shared" ref="J36:J50" si="22">I36/F36</f>
        <v>0.27839480687368395</v>
      </c>
      <c r="K36" s="1">
        <f>K35</f>
        <v>123.43107811827825</v>
      </c>
      <c r="L36" s="2">
        <f t="shared" ref="L36:L50" si="23">K36/F36</f>
        <v>3.3032829747771791E-5</v>
      </c>
      <c r="M36" s="1">
        <f>M35</f>
        <v>296398.95231437939</v>
      </c>
      <c r="N36" s="2">
        <f t="shared" ref="N36:N50" si="24">M36/F36</f>
        <v>7.9322778983074799E-2</v>
      </c>
      <c r="O36" s="1">
        <f>O35</f>
        <v>53062.746646934043</v>
      </c>
      <c r="P36" s="2">
        <f t="shared" ref="P36:P50" si="25">O36/F36</f>
        <v>1.4200740224092364E-2</v>
      </c>
      <c r="Q36" s="1">
        <f t="shared" ref="Q36:Q50" si="26">G36+I36+K36+M36+O36</f>
        <v>3736618.3600000003</v>
      </c>
      <c r="R36" s="2">
        <f t="shared" ref="R36:R50" si="27">H36+J36+L36+N36+P36</f>
        <v>0.99999999999999989</v>
      </c>
    </row>
    <row r="37" spans="1:18" x14ac:dyDescent="0.25">
      <c r="A37" s="3">
        <v>43208</v>
      </c>
      <c r="B37" t="s">
        <v>75</v>
      </c>
      <c r="C37" s="1">
        <v>-528</v>
      </c>
      <c r="D37" s="1">
        <f t="shared" si="18"/>
        <v>12475.310000000045</v>
      </c>
      <c r="E37" s="1">
        <f t="shared" si="19"/>
        <v>3723615.05</v>
      </c>
      <c r="F37" s="1">
        <f t="shared" si="20"/>
        <v>3736090.36</v>
      </c>
      <c r="G37" s="1">
        <f t="shared" ref="G37:G50" si="28">G36+(H36*C37)</f>
        <v>2346446.4735852112</v>
      </c>
      <c r="H37" s="2">
        <f t="shared" si="21"/>
        <v>0.62804864108940106</v>
      </c>
      <c r="I37" s="1">
        <f t="shared" ref="I37:I50" si="29">I36+(J36*C37)</f>
        <v>1040108.1542348324</v>
      </c>
      <c r="J37" s="2">
        <f t="shared" si="22"/>
        <v>0.27839480687368395</v>
      </c>
      <c r="K37" s="1">
        <f t="shared" ref="K37:K50" si="30">K36+(L36*C37)</f>
        <v>123.41363678417143</v>
      </c>
      <c r="L37" s="2">
        <f t="shared" si="23"/>
        <v>3.3032829747771798E-5</v>
      </c>
      <c r="M37" s="1">
        <f t="shared" ref="M37:M50" si="31">M36+(N36*C37)</f>
        <v>296357.06988707633</v>
      </c>
      <c r="N37" s="2">
        <f t="shared" si="24"/>
        <v>7.9322778983074799E-2</v>
      </c>
      <c r="O37" s="1">
        <f t="shared" ref="O37:O50" si="32">O36+(P36*C37)</f>
        <v>53055.248656095726</v>
      </c>
      <c r="P37" s="2">
        <f t="shared" si="25"/>
        <v>1.4200740224092366E-2</v>
      </c>
      <c r="Q37" s="1">
        <f t="shared" si="26"/>
        <v>3736090.3600000003</v>
      </c>
      <c r="R37" s="2">
        <f t="shared" si="27"/>
        <v>0.99999999999999989</v>
      </c>
    </row>
    <row r="38" spans="1:18" x14ac:dyDescent="0.25">
      <c r="A38" s="3">
        <v>43221</v>
      </c>
      <c r="B38" t="s">
        <v>74</v>
      </c>
      <c r="C38" s="1">
        <v>-1500</v>
      </c>
      <c r="D38" s="1">
        <f t="shared" si="18"/>
        <v>10975.310000000045</v>
      </c>
      <c r="E38" s="1">
        <f t="shared" si="19"/>
        <v>3723615.05</v>
      </c>
      <c r="F38" s="1">
        <f t="shared" si="20"/>
        <v>3734590.36</v>
      </c>
      <c r="G38" s="1">
        <f t="shared" si="28"/>
        <v>2345504.4006235772</v>
      </c>
      <c r="H38" s="2">
        <f t="shared" si="21"/>
        <v>0.62804864108940106</v>
      </c>
      <c r="I38" s="1">
        <f t="shared" si="29"/>
        <v>1039690.5620245219</v>
      </c>
      <c r="J38" s="2">
        <f t="shared" si="22"/>
        <v>0.27839480687368395</v>
      </c>
      <c r="K38" s="1">
        <f t="shared" si="30"/>
        <v>123.36408753954977</v>
      </c>
      <c r="L38" s="2">
        <f t="shared" si="23"/>
        <v>3.3032829747771791E-5</v>
      </c>
      <c r="M38" s="1">
        <f t="shared" si="31"/>
        <v>296238.08571860171</v>
      </c>
      <c r="N38" s="2">
        <f t="shared" si="24"/>
        <v>7.9322778983074785E-2</v>
      </c>
      <c r="O38" s="1">
        <f t="shared" si="32"/>
        <v>53033.947545759591</v>
      </c>
      <c r="P38" s="2">
        <f t="shared" si="25"/>
        <v>1.4200740224092366E-2</v>
      </c>
      <c r="Q38" s="1">
        <f t="shared" si="26"/>
        <v>3734590.3600000003</v>
      </c>
      <c r="R38" s="2">
        <f t="shared" si="27"/>
        <v>0.99999999999999989</v>
      </c>
    </row>
    <row r="39" spans="1:18" x14ac:dyDescent="0.25">
      <c r="A39" s="3">
        <v>43231</v>
      </c>
      <c r="B39" t="s">
        <v>70</v>
      </c>
      <c r="C39" s="1">
        <v>-708.5</v>
      </c>
      <c r="D39" s="1">
        <f t="shared" si="18"/>
        <v>10266.810000000045</v>
      </c>
      <c r="E39" s="1">
        <f t="shared" si="19"/>
        <v>3723615.05</v>
      </c>
      <c r="F39" s="1">
        <f t="shared" si="20"/>
        <v>3733881.86</v>
      </c>
      <c r="G39" s="1">
        <f>G38+C39</f>
        <v>2344795.9006235772</v>
      </c>
      <c r="H39" s="2">
        <f t="shared" si="21"/>
        <v>0.62797806372577014</v>
      </c>
      <c r="I39" s="1">
        <f>I38</f>
        <v>1039690.5620245219</v>
      </c>
      <c r="J39" s="2">
        <f t="shared" si="22"/>
        <v>0.27844763198386835</v>
      </c>
      <c r="K39" s="1">
        <f>K38</f>
        <v>123.36408753954977</v>
      </c>
      <c r="L39" s="2">
        <f t="shared" si="23"/>
        <v>3.303909769109561E-5</v>
      </c>
      <c r="M39" s="1">
        <f>M38</f>
        <v>296238.08571860171</v>
      </c>
      <c r="N39" s="2">
        <f t="shared" si="24"/>
        <v>7.9337830393648751E-2</v>
      </c>
      <c r="O39" s="1">
        <f>O38</f>
        <v>53033.947545759591</v>
      </c>
      <c r="P39" s="2">
        <f t="shared" si="25"/>
        <v>1.4203434799021626E-2</v>
      </c>
      <c r="Q39" s="1">
        <f t="shared" si="26"/>
        <v>3733881.8600000003</v>
      </c>
      <c r="R39" s="2">
        <f t="shared" si="27"/>
        <v>1</v>
      </c>
    </row>
    <row r="40" spans="1:18" x14ac:dyDescent="0.25">
      <c r="A40" s="3">
        <v>43231</v>
      </c>
      <c r="B40" t="s">
        <v>71</v>
      </c>
      <c r="C40" s="1">
        <v>-708.5</v>
      </c>
      <c r="D40" s="1">
        <f t="shared" si="18"/>
        <v>9558.310000000045</v>
      </c>
      <c r="E40" s="1">
        <f t="shared" si="19"/>
        <v>3723615.05</v>
      </c>
      <c r="F40" s="1">
        <f t="shared" si="20"/>
        <v>3733173.36</v>
      </c>
      <c r="G40" s="1">
        <f>G39+C40</f>
        <v>2344087.4006235772</v>
      </c>
      <c r="H40" s="2">
        <f t="shared" si="21"/>
        <v>0.6279074595731009</v>
      </c>
      <c r="I40" s="1">
        <f>I39</f>
        <v>1039690.5620245219</v>
      </c>
      <c r="J40" s="2">
        <f t="shared" si="22"/>
        <v>0.27850047714487119</v>
      </c>
      <c r="K40" s="1">
        <f>K39</f>
        <v>123.36408753954977</v>
      </c>
      <c r="L40" s="2">
        <f t="shared" si="23"/>
        <v>3.3045368013541644E-5</v>
      </c>
      <c r="M40" s="1">
        <f>M39</f>
        <v>296238.08571860171</v>
      </c>
      <c r="N40" s="2">
        <f t="shared" si="24"/>
        <v>7.9352887517284143E-2</v>
      </c>
      <c r="O40" s="1">
        <f>O39</f>
        <v>53033.947545759591</v>
      </c>
      <c r="P40" s="2">
        <f t="shared" si="25"/>
        <v>1.4206130396730248E-2</v>
      </c>
      <c r="Q40" s="1">
        <f t="shared" si="26"/>
        <v>3733173.3600000003</v>
      </c>
      <c r="R40" s="2">
        <f t="shared" si="27"/>
        <v>1</v>
      </c>
    </row>
    <row r="41" spans="1:18" x14ac:dyDescent="0.25">
      <c r="A41" s="3">
        <v>43231</v>
      </c>
      <c r="B41" t="s">
        <v>64</v>
      </c>
      <c r="C41" s="1">
        <v>-2944.2</v>
      </c>
      <c r="D41" s="1">
        <f t="shared" si="18"/>
        <v>6614.1100000000451</v>
      </c>
      <c r="E41" s="1">
        <f t="shared" si="19"/>
        <v>3723615.05</v>
      </c>
      <c r="F41" s="1">
        <f t="shared" si="20"/>
        <v>3730229.1599999997</v>
      </c>
      <c r="G41" s="1">
        <f>G40</f>
        <v>2344087.4006235772</v>
      </c>
      <c r="H41" s="2">
        <f t="shared" si="21"/>
        <v>0.62840305516875472</v>
      </c>
      <c r="I41" s="1">
        <f>I40+C41</f>
        <v>1036746.3620245219</v>
      </c>
      <c r="J41" s="2">
        <f t="shared" si="22"/>
        <v>0.27793101108686902</v>
      </c>
      <c r="K41" s="1">
        <f>K40</f>
        <v>123.36408753954977</v>
      </c>
      <c r="L41" s="2">
        <f t="shared" si="23"/>
        <v>3.3071450103497065E-5</v>
      </c>
      <c r="M41" s="1">
        <f>M40</f>
        <v>296238.08571860171</v>
      </c>
      <c r="N41" s="2">
        <f t="shared" si="24"/>
        <v>7.9415519264934842E-2</v>
      </c>
      <c r="O41" s="1">
        <f>O40</f>
        <v>53033.947545759591</v>
      </c>
      <c r="P41" s="2">
        <f t="shared" si="25"/>
        <v>1.4217343029338067E-2</v>
      </c>
      <c r="Q41" s="1">
        <f t="shared" si="26"/>
        <v>3730229.16</v>
      </c>
      <c r="R41" s="2">
        <f t="shared" si="27"/>
        <v>1</v>
      </c>
    </row>
    <row r="42" spans="1:18" x14ac:dyDescent="0.25">
      <c r="A42" s="3">
        <v>43231</v>
      </c>
      <c r="B42" t="s">
        <v>73</v>
      </c>
      <c r="C42" s="1">
        <v>-1805.8</v>
      </c>
      <c r="D42" s="1">
        <f t="shared" si="18"/>
        <v>4808.310000000045</v>
      </c>
      <c r="E42" s="1">
        <f t="shared" si="19"/>
        <v>3723615.05</v>
      </c>
      <c r="F42" s="1">
        <f t="shared" si="20"/>
        <v>3728423.36</v>
      </c>
      <c r="G42" s="1">
        <f>G41</f>
        <v>2344087.4006235772</v>
      </c>
      <c r="H42" s="2">
        <f t="shared" si="21"/>
        <v>0.62870741176334044</v>
      </c>
      <c r="I42" s="1">
        <f>I41+C42</f>
        <v>1034940.5620245219</v>
      </c>
      <c r="J42" s="2">
        <f t="shared" si="22"/>
        <v>0.27758128895118872</v>
      </c>
      <c r="K42" s="1">
        <f>K41</f>
        <v>123.36408753954977</v>
      </c>
      <c r="L42" s="2">
        <f t="shared" si="23"/>
        <v>3.3087467711700468E-5</v>
      </c>
      <c r="M42" s="1">
        <f>M41</f>
        <v>296238.08571860171</v>
      </c>
      <c r="N42" s="2">
        <f t="shared" si="24"/>
        <v>7.9453982854190072E-2</v>
      </c>
      <c r="O42" s="1">
        <f>O41</f>
        <v>53033.947545759591</v>
      </c>
      <c r="P42" s="2">
        <f t="shared" si="25"/>
        <v>1.4224228963569093E-2</v>
      </c>
      <c r="Q42" s="1">
        <f t="shared" si="26"/>
        <v>3728423.3600000003</v>
      </c>
      <c r="R42" s="2">
        <f t="shared" si="27"/>
        <v>1</v>
      </c>
    </row>
    <row r="43" spans="1:18" x14ac:dyDescent="0.25">
      <c r="A43" s="3">
        <v>43244</v>
      </c>
      <c r="B43" t="s">
        <v>76</v>
      </c>
      <c r="C43" s="1">
        <v>-195</v>
      </c>
      <c r="D43" s="1">
        <f t="shared" si="18"/>
        <v>4613.310000000045</v>
      </c>
      <c r="E43" s="1">
        <f t="shared" si="19"/>
        <v>3723615.05</v>
      </c>
      <c r="F43" s="1">
        <f t="shared" si="20"/>
        <v>3728228.36</v>
      </c>
      <c r="G43" s="1">
        <f t="shared" si="28"/>
        <v>2343964.8026782833</v>
      </c>
      <c r="H43" s="2">
        <f t="shared" si="21"/>
        <v>0.62870741176334044</v>
      </c>
      <c r="I43" s="1">
        <f t="shared" si="29"/>
        <v>1034886.4336731764</v>
      </c>
      <c r="J43" s="2">
        <f t="shared" si="22"/>
        <v>0.27758128895118872</v>
      </c>
      <c r="K43" s="1">
        <f t="shared" si="30"/>
        <v>123.35763548334599</v>
      </c>
      <c r="L43" s="2">
        <f t="shared" si="23"/>
        <v>3.3087467711700468E-5</v>
      </c>
      <c r="M43" s="1">
        <f t="shared" si="31"/>
        <v>296222.59219194512</v>
      </c>
      <c r="N43" s="2">
        <f t="shared" si="24"/>
        <v>7.9453982854190058E-2</v>
      </c>
      <c r="O43" s="1">
        <f t="shared" si="32"/>
        <v>53031.173821111697</v>
      </c>
      <c r="P43" s="2">
        <f t="shared" si="25"/>
        <v>1.4224228963569093E-2</v>
      </c>
      <c r="Q43" s="1">
        <f t="shared" si="26"/>
        <v>3728228.36</v>
      </c>
      <c r="R43" s="2">
        <f t="shared" si="27"/>
        <v>1</v>
      </c>
    </row>
    <row r="44" spans="1:18" x14ac:dyDescent="0.25">
      <c r="A44" s="3">
        <v>43245</v>
      </c>
      <c r="B44" t="s">
        <v>77</v>
      </c>
      <c r="C44" s="1">
        <v>20771.88</v>
      </c>
      <c r="D44" s="1">
        <f t="shared" si="18"/>
        <v>25385.190000000046</v>
      </c>
      <c r="E44" s="1">
        <f t="shared" si="19"/>
        <v>3723615.05</v>
      </c>
      <c r="F44" s="1">
        <f t="shared" si="20"/>
        <v>3749000.2399999998</v>
      </c>
      <c r="G44" s="1">
        <f t="shared" si="28"/>
        <v>2357024.2375905421</v>
      </c>
      <c r="H44" s="2">
        <f t="shared" si="21"/>
        <v>0.62870741176334044</v>
      </c>
      <c r="I44" s="1">
        <f t="shared" si="29"/>
        <v>1040652.3188975159</v>
      </c>
      <c r="J44" s="2">
        <f t="shared" si="22"/>
        <v>0.27758128895118872</v>
      </c>
      <c r="K44" s="1">
        <f t="shared" si="30"/>
        <v>124.0449243921573</v>
      </c>
      <c r="L44" s="2">
        <f t="shared" si="23"/>
        <v>3.3087467711700468E-5</v>
      </c>
      <c r="M44" s="1">
        <f t="shared" si="31"/>
        <v>297873.00078931439</v>
      </c>
      <c r="N44" s="2">
        <f t="shared" si="24"/>
        <v>7.9453982854190058E-2</v>
      </c>
      <c r="O44" s="1">
        <f t="shared" si="32"/>
        <v>53326.637798235475</v>
      </c>
      <c r="P44" s="2">
        <f t="shared" si="25"/>
        <v>1.4224228963569093E-2</v>
      </c>
      <c r="Q44" s="1">
        <f t="shared" si="26"/>
        <v>3749000.24</v>
      </c>
      <c r="R44" s="2">
        <f t="shared" si="27"/>
        <v>1</v>
      </c>
    </row>
    <row r="45" spans="1:18" x14ac:dyDescent="0.25">
      <c r="A45" s="3">
        <v>43252</v>
      </c>
      <c r="B45" t="s">
        <v>74</v>
      </c>
      <c r="C45" s="1">
        <v>-1500</v>
      </c>
      <c r="D45" s="1">
        <f t="shared" si="18"/>
        <v>23885.190000000046</v>
      </c>
      <c r="E45" s="1">
        <f t="shared" si="19"/>
        <v>3723615.05</v>
      </c>
      <c r="F45" s="1">
        <f t="shared" si="20"/>
        <v>3747500.2399999998</v>
      </c>
      <c r="G45" s="1">
        <f t="shared" si="28"/>
        <v>2356081.1764728972</v>
      </c>
      <c r="H45" s="2">
        <f t="shared" si="21"/>
        <v>0.62870741176334044</v>
      </c>
      <c r="I45" s="1">
        <f t="shared" si="29"/>
        <v>1040235.9469640891</v>
      </c>
      <c r="J45" s="2">
        <f t="shared" si="22"/>
        <v>0.27758128895118872</v>
      </c>
      <c r="K45" s="1">
        <f t="shared" si="30"/>
        <v>123.99529319058975</v>
      </c>
      <c r="L45" s="2">
        <f t="shared" si="23"/>
        <v>3.3087467711700468E-5</v>
      </c>
      <c r="M45" s="1">
        <f t="shared" si="31"/>
        <v>297753.81981503312</v>
      </c>
      <c r="N45" s="2">
        <f t="shared" si="24"/>
        <v>7.9453982854190058E-2</v>
      </c>
      <c r="O45" s="1">
        <f t="shared" si="32"/>
        <v>53305.301454790118</v>
      </c>
      <c r="P45" s="2">
        <f t="shared" si="25"/>
        <v>1.4224228963569091E-2</v>
      </c>
      <c r="Q45" s="1">
        <f t="shared" si="26"/>
        <v>3747500.24</v>
      </c>
      <c r="R45" s="2">
        <f t="shared" si="27"/>
        <v>1</v>
      </c>
    </row>
    <row r="46" spans="1:18" x14ac:dyDescent="0.25">
      <c r="A46" s="3">
        <v>43262</v>
      </c>
      <c r="B46" t="s">
        <v>64</v>
      </c>
      <c r="C46" s="1">
        <v>-2944.6</v>
      </c>
      <c r="D46" s="1">
        <f t="shared" si="18"/>
        <v>20940.590000000047</v>
      </c>
      <c r="E46" s="1">
        <f t="shared" si="19"/>
        <v>3723615.05</v>
      </c>
      <c r="F46" s="1">
        <f t="shared" si="20"/>
        <v>3744555.6399999997</v>
      </c>
      <c r="G46" s="1">
        <f>G45</f>
        <v>2356081.1764728972</v>
      </c>
      <c r="H46" s="2">
        <f t="shared" si="21"/>
        <v>0.62920180736662723</v>
      </c>
      <c r="I46" s="1">
        <f>I45+C46</f>
        <v>1037291.3469640891</v>
      </c>
      <c r="J46" s="2">
        <f t="shared" si="22"/>
        <v>0.27701320174911037</v>
      </c>
      <c r="K46" s="1">
        <f>K45</f>
        <v>123.99529319058975</v>
      </c>
      <c r="L46" s="2">
        <f t="shared" si="23"/>
        <v>3.3113486648736181E-5</v>
      </c>
      <c r="M46" s="1">
        <f>M45</f>
        <v>297753.81981503312</v>
      </c>
      <c r="N46" s="2">
        <f t="shared" si="24"/>
        <v>7.9516462950736957E-2</v>
      </c>
      <c r="O46" s="1">
        <f>O45</f>
        <v>53305.301454790118</v>
      </c>
      <c r="P46" s="2">
        <f t="shared" si="25"/>
        <v>1.4235414446876832E-2</v>
      </c>
      <c r="Q46" s="1">
        <f t="shared" si="26"/>
        <v>3744555.64</v>
      </c>
      <c r="R46" s="2">
        <f t="shared" si="27"/>
        <v>1.0000000000000002</v>
      </c>
    </row>
    <row r="47" spans="1:18" x14ac:dyDescent="0.25">
      <c r="A47" s="3">
        <v>43262</v>
      </c>
      <c r="B47" t="s">
        <v>73</v>
      </c>
      <c r="C47" s="1">
        <v>-1805.4</v>
      </c>
      <c r="D47" s="1">
        <f t="shared" si="18"/>
        <v>19135.190000000046</v>
      </c>
      <c r="E47" s="1">
        <f t="shared" si="19"/>
        <v>3723615.05</v>
      </c>
      <c r="F47" s="1">
        <f t="shared" si="20"/>
        <v>3742750.2399999998</v>
      </c>
      <c r="G47" s="1">
        <f>G46</f>
        <v>2356081.1764728972</v>
      </c>
      <c r="H47" s="2">
        <f t="shared" si="21"/>
        <v>0.62950531705073043</v>
      </c>
      <c r="I47" s="1">
        <f>I46+C47</f>
        <v>1035485.9469640891</v>
      </c>
      <c r="J47" s="2">
        <f t="shared" si="22"/>
        <v>0.27666445275923329</v>
      </c>
      <c r="K47" s="1">
        <f>K46</f>
        <v>123.99529319058975</v>
      </c>
      <c r="L47" s="2">
        <f t="shared" si="23"/>
        <v>3.3129459685931316E-5</v>
      </c>
      <c r="M47" s="1">
        <f>M46</f>
        <v>297753.81981503312</v>
      </c>
      <c r="N47" s="2">
        <f t="shared" si="24"/>
        <v>7.9554819510220143E-2</v>
      </c>
      <c r="O47" s="1">
        <f>O46</f>
        <v>53305.301454790118</v>
      </c>
      <c r="P47" s="2">
        <f t="shared" si="25"/>
        <v>1.4242281220130286E-2</v>
      </c>
      <c r="Q47" s="1">
        <f t="shared" si="26"/>
        <v>3742750.24</v>
      </c>
      <c r="R47" s="2">
        <f t="shared" si="27"/>
        <v>1.0000000000000002</v>
      </c>
    </row>
    <row r="48" spans="1:18" x14ac:dyDescent="0.25">
      <c r="A48" s="3">
        <v>43262</v>
      </c>
      <c r="B48" t="s">
        <v>70</v>
      </c>
      <c r="C48" s="1">
        <v>-708.5</v>
      </c>
      <c r="D48" s="1">
        <f t="shared" si="18"/>
        <v>18426.690000000046</v>
      </c>
      <c r="E48" s="1">
        <f t="shared" si="19"/>
        <v>3723615.05</v>
      </c>
      <c r="F48" s="1">
        <f t="shared" si="20"/>
        <v>3742041.7399999998</v>
      </c>
      <c r="G48" s="1">
        <f>G47+C48</f>
        <v>2355372.6764728972</v>
      </c>
      <c r="H48" s="2">
        <f t="shared" si="21"/>
        <v>0.62943516938774102</v>
      </c>
      <c r="I48" s="1">
        <f>I47</f>
        <v>1035485.9469640891</v>
      </c>
      <c r="J48" s="2">
        <f t="shared" si="22"/>
        <v>0.27671683506237138</v>
      </c>
      <c r="K48" s="1">
        <f>K47</f>
        <v>123.99529319058975</v>
      </c>
      <c r="L48" s="2">
        <f t="shared" si="23"/>
        <v>3.313573225684804E-5</v>
      </c>
      <c r="M48" s="1">
        <f>M47</f>
        <v>297753.81981503312</v>
      </c>
      <c r="N48" s="2">
        <f t="shared" si="24"/>
        <v>7.9569882033179329E-2</v>
      </c>
      <c r="O48" s="1">
        <f>O47</f>
        <v>53305.301454790118</v>
      </c>
      <c r="P48" s="2">
        <f t="shared" si="25"/>
        <v>1.424497778445147E-2</v>
      </c>
      <c r="Q48" s="1">
        <f t="shared" si="26"/>
        <v>3742041.74</v>
      </c>
      <c r="R48" s="2">
        <f t="shared" si="27"/>
        <v>0.99999999999999989</v>
      </c>
    </row>
    <row r="49" spans="1:18" x14ac:dyDescent="0.25">
      <c r="A49" s="3">
        <v>43262</v>
      </c>
      <c r="B49" t="s">
        <v>71</v>
      </c>
      <c r="C49" s="1">
        <v>-708.5</v>
      </c>
      <c r="D49" s="1">
        <f t="shared" si="18"/>
        <v>17718.190000000046</v>
      </c>
      <c r="E49" s="1">
        <f t="shared" si="19"/>
        <v>3723615.05</v>
      </c>
      <c r="F49" s="1">
        <f t="shared" si="20"/>
        <v>3741333.2399999998</v>
      </c>
      <c r="G49" s="1">
        <f>G48+C49</f>
        <v>2354664.1764728972</v>
      </c>
      <c r="H49" s="2">
        <f t="shared" si="21"/>
        <v>0.62936499515688615</v>
      </c>
      <c r="I49" s="1">
        <f>I48</f>
        <v>1035485.9469640891</v>
      </c>
      <c r="J49" s="2">
        <f t="shared" si="22"/>
        <v>0.27676923720488716</v>
      </c>
      <c r="K49" s="1">
        <f>K48</f>
        <v>123.99529319058975</v>
      </c>
      <c r="L49" s="2">
        <f t="shared" si="23"/>
        <v>3.3142007203450756E-5</v>
      </c>
      <c r="M49" s="1">
        <f>M48</f>
        <v>297753.81981503312</v>
      </c>
      <c r="N49" s="2">
        <f t="shared" si="24"/>
        <v>7.9584950260948459E-2</v>
      </c>
      <c r="O49" s="1">
        <f>O48</f>
        <v>53305.301454790118</v>
      </c>
      <c r="P49" s="2">
        <f t="shared" si="25"/>
        <v>1.4247675370074792E-2</v>
      </c>
      <c r="Q49" s="1">
        <f t="shared" si="26"/>
        <v>3741333.24</v>
      </c>
      <c r="R49" s="2">
        <f t="shared" si="27"/>
        <v>1.0000000000000002</v>
      </c>
    </row>
    <row r="50" spans="1:18" x14ac:dyDescent="0.25">
      <c r="A50" s="3">
        <v>43285</v>
      </c>
      <c r="B50" t="s">
        <v>74</v>
      </c>
      <c r="C50" s="1">
        <v>-1500</v>
      </c>
      <c r="D50" s="1">
        <f t="shared" si="18"/>
        <v>16218.190000000046</v>
      </c>
      <c r="E50" s="1">
        <f t="shared" si="19"/>
        <v>3723615.05</v>
      </c>
      <c r="F50" s="1">
        <f t="shared" si="20"/>
        <v>3739833.2399999998</v>
      </c>
      <c r="G50" s="1">
        <f t="shared" si="28"/>
        <v>2353720.1289801616</v>
      </c>
      <c r="H50" s="2">
        <f t="shared" si="21"/>
        <v>0.62936499515688615</v>
      </c>
      <c r="I50" s="1">
        <f t="shared" si="29"/>
        <v>1035070.7931082817</v>
      </c>
      <c r="J50" s="2">
        <f t="shared" si="22"/>
        <v>0.27676923720488716</v>
      </c>
      <c r="K50" s="1">
        <f t="shared" si="30"/>
        <v>123.94558017978457</v>
      </c>
      <c r="L50" s="2">
        <f t="shared" si="23"/>
        <v>3.3142007203450756E-5</v>
      </c>
      <c r="M50" s="1">
        <f t="shared" si="31"/>
        <v>297634.44238964171</v>
      </c>
      <c r="N50" s="2">
        <f t="shared" si="24"/>
        <v>7.9584950260948459E-2</v>
      </c>
      <c r="O50" s="1">
        <f t="shared" si="32"/>
        <v>53283.929941735005</v>
      </c>
      <c r="P50" s="2">
        <f t="shared" si="25"/>
        <v>1.4247675370074792E-2</v>
      </c>
      <c r="Q50" s="1">
        <f t="shared" si="26"/>
        <v>3739833.24</v>
      </c>
      <c r="R50" s="2">
        <f t="shared" si="27"/>
        <v>1.0000000000000002</v>
      </c>
    </row>
    <row r="52" spans="1:18" x14ac:dyDescent="0.25">
      <c r="A52" s="3">
        <v>43286</v>
      </c>
      <c r="B52" t="s">
        <v>78</v>
      </c>
      <c r="C52" s="1">
        <v>0</v>
      </c>
      <c r="D52" s="1">
        <v>16218.19</v>
      </c>
      <c r="E52" s="1">
        <f>C63</f>
        <v>3800189.06</v>
      </c>
      <c r="F52" s="1">
        <f t="shared" ref="F52" si="33">D52+E52</f>
        <v>3816407.25</v>
      </c>
      <c r="G52" s="1">
        <f>F52*H50</f>
        <v>2401913.1304129553</v>
      </c>
      <c r="H52" s="2">
        <f t="shared" ref="H52" si="34">G52/F52</f>
        <v>0.62936499515688615</v>
      </c>
      <c r="I52" s="1">
        <f>F52*J50</f>
        <v>1056264.1234457011</v>
      </c>
      <c r="J52" s="2">
        <f t="shared" ref="J52" si="35">I52/F52</f>
        <v>0.27676923720488716</v>
      </c>
      <c r="K52" s="1">
        <f>F52*L50</f>
        <v>126.48339657080169</v>
      </c>
      <c r="L52" s="2">
        <f t="shared" ref="L52" si="36">K52/F52</f>
        <v>3.3142007203450756E-5</v>
      </c>
      <c r="M52" s="1">
        <f>F52*N50</f>
        <v>303728.5811667731</v>
      </c>
      <c r="N52" s="2">
        <f t="shared" ref="N52" si="37">M52/F52</f>
        <v>7.9584950260948459E-2</v>
      </c>
      <c r="O52" s="1">
        <f>F52*P50</f>
        <v>54374.931577999865</v>
      </c>
      <c r="P52" s="2">
        <f t="shared" ref="P52" si="38">O52/F52</f>
        <v>1.4247675370074792E-2</v>
      </c>
      <c r="Q52" s="1">
        <f t="shared" ref="Q52" si="39">G52+I52+K52+M52+O52</f>
        <v>3816407.2500000005</v>
      </c>
      <c r="R52" s="2">
        <f t="shared" ref="R52" si="40">H52+J52+L52+N52+P52</f>
        <v>1.0000000000000002</v>
      </c>
    </row>
    <row r="57" spans="1:18" x14ac:dyDescent="0.25">
      <c r="A57" t="s">
        <v>79</v>
      </c>
    </row>
    <row r="58" spans="1:18" s="8" customFormat="1" x14ac:dyDescent="0.25">
      <c r="B58" s="8" t="s">
        <v>80</v>
      </c>
      <c r="C58" s="9">
        <v>254817.76</v>
      </c>
      <c r="D58" s="9"/>
      <c r="E58" s="9"/>
      <c r="F58" s="9"/>
      <c r="G58" s="9"/>
      <c r="H58" s="10"/>
      <c r="I58" s="9"/>
      <c r="J58" s="10"/>
      <c r="K58" s="9"/>
      <c r="L58" s="10"/>
      <c r="M58" s="9"/>
      <c r="N58" s="10"/>
      <c r="O58" s="9"/>
      <c r="P58" s="10"/>
      <c r="Q58" s="9"/>
      <c r="R58" s="10"/>
    </row>
    <row r="59" spans="1:18" x14ac:dyDescent="0.25">
      <c r="B59" t="s">
        <v>81</v>
      </c>
      <c r="C59" s="1">
        <v>568809.43000000005</v>
      </c>
    </row>
    <row r="60" spans="1:18" x14ac:dyDescent="0.25">
      <c r="B60" t="s">
        <v>82</v>
      </c>
      <c r="C60" s="1">
        <v>2700000</v>
      </c>
    </row>
    <row r="61" spans="1:18" x14ac:dyDescent="0.25">
      <c r="B61" s="6" t="s">
        <v>83</v>
      </c>
      <c r="C61" s="4">
        <v>276561.87</v>
      </c>
      <c r="D61" s="4" t="s">
        <v>87</v>
      </c>
      <c r="E61" s="4"/>
      <c r="F61" s="4"/>
      <c r="G61" s="4"/>
      <c r="H61" s="7"/>
      <c r="I61" s="4"/>
      <c r="J61" s="7"/>
    </row>
    <row r="63" spans="1:18" x14ac:dyDescent="0.25">
      <c r="B63" t="s">
        <v>85</v>
      </c>
      <c r="C63" s="1">
        <f>SUM(C58:C61)</f>
        <v>3800189.06</v>
      </c>
    </row>
    <row r="65" spans="2:3" x14ac:dyDescent="0.25">
      <c r="B65" t="s">
        <v>84</v>
      </c>
      <c r="C65" s="1">
        <v>16218.19</v>
      </c>
    </row>
    <row r="67" spans="2:3" x14ac:dyDescent="0.25">
      <c r="B67" t="s">
        <v>86</v>
      </c>
      <c r="C67" s="1">
        <f>C63+C65</f>
        <v>3816407.25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8"/>
  <sheetViews>
    <sheetView tabSelected="1" topLeftCell="C1" workbookViewId="0">
      <pane ySplit="1" topLeftCell="A60" activePane="bottomLeft" state="frozen"/>
      <selection pane="bottomLeft" activeCell="M85" sqref="M85"/>
    </sheetView>
  </sheetViews>
  <sheetFormatPr defaultRowHeight="15" x14ac:dyDescent="0.25"/>
  <cols>
    <col min="1" max="1" width="12.140625" customWidth="1"/>
    <col min="2" max="2" width="37.42578125" customWidth="1"/>
    <col min="3" max="3" width="22.140625" style="1" customWidth="1"/>
    <col min="4" max="4" width="23.28515625" style="1" customWidth="1"/>
    <col min="5" max="5" width="17.85546875" style="1" bestFit="1" customWidth="1"/>
    <col min="6" max="6" width="13.42578125" style="1" customWidth="1"/>
    <col min="7" max="7" width="14.5703125" style="16" customWidth="1"/>
    <col min="8" max="8" width="11.42578125" style="19" customWidth="1"/>
    <col min="9" max="9" width="14.5703125" style="1" customWidth="1"/>
    <col min="10" max="10" width="12.5703125" style="19" customWidth="1"/>
    <col min="11" max="11" width="14.140625" style="16" customWidth="1"/>
    <col min="12" max="12" width="13.85546875" style="19" customWidth="1"/>
    <col min="13" max="13" width="12.42578125" style="16" customWidth="1"/>
    <col min="14" max="14" width="10.85546875" style="19" customWidth="1"/>
    <col min="15" max="15" width="12.28515625" style="16" customWidth="1"/>
    <col min="16" max="16" width="12.5703125" style="19" customWidth="1"/>
    <col min="17" max="17" width="18.28515625" style="16" customWidth="1"/>
    <col min="18" max="18" width="18.140625" style="13" customWidth="1"/>
  </cols>
  <sheetData>
    <row r="1" spans="1:18" x14ac:dyDescent="0.25">
      <c r="A1" t="s">
        <v>42</v>
      </c>
      <c r="B1" t="s">
        <v>57</v>
      </c>
      <c r="C1" s="1" t="s">
        <v>58</v>
      </c>
      <c r="D1" s="1" t="s">
        <v>59</v>
      </c>
      <c r="E1" s="1" t="s">
        <v>43</v>
      </c>
      <c r="F1" s="1" t="s">
        <v>44</v>
      </c>
      <c r="G1" s="16" t="s">
        <v>55</v>
      </c>
      <c r="H1" s="19" t="s">
        <v>56</v>
      </c>
      <c r="I1" s="1" t="s">
        <v>47</v>
      </c>
      <c r="J1" s="19" t="s">
        <v>48</v>
      </c>
      <c r="K1" s="16" t="s">
        <v>49</v>
      </c>
      <c r="L1" s="19" t="s">
        <v>50</v>
      </c>
      <c r="M1" s="16" t="s">
        <v>51</v>
      </c>
      <c r="N1" s="19" t="s">
        <v>52</v>
      </c>
      <c r="O1" s="16" t="s">
        <v>53</v>
      </c>
      <c r="P1" s="19" t="s">
        <v>54</v>
      </c>
      <c r="Q1" s="16" t="s">
        <v>45</v>
      </c>
      <c r="R1" s="13" t="s">
        <v>46</v>
      </c>
    </row>
    <row r="3" spans="1:18" x14ac:dyDescent="0.25">
      <c r="A3" s="3">
        <v>43067</v>
      </c>
      <c r="B3" s="3" t="s">
        <v>65</v>
      </c>
      <c r="D3" s="1">
        <v>82819.02</v>
      </c>
      <c r="E3" s="1">
        <f>198194.03+548040.72+2700000+322380.3</f>
        <v>3768615.05</v>
      </c>
      <c r="F3" s="1">
        <f>D3+E3</f>
        <v>3851434.07</v>
      </c>
      <c r="G3" s="16">
        <f>F3*H3</f>
        <v>2427736.5503698643</v>
      </c>
      <c r="H3" s="19">
        <v>0.63034612724653616</v>
      </c>
      <c r="I3" s="1">
        <f>F3*J3</f>
        <v>1006164.5341397582</v>
      </c>
      <c r="J3" s="19">
        <v>0.26124412773337652</v>
      </c>
      <c r="K3" s="16">
        <f>F3*L3</f>
        <v>71991.836507552536</v>
      </c>
      <c r="L3" s="19">
        <v>1.869221573032212E-2</v>
      </c>
      <c r="M3" s="16">
        <f>F3*N3</f>
        <v>293073.70405520173</v>
      </c>
      <c r="N3" s="19">
        <v>7.6094695827209569E-2</v>
      </c>
      <c r="O3" s="16">
        <f>F3*P3</f>
        <v>52467.44492762247</v>
      </c>
      <c r="P3" s="19">
        <v>1.3622833462555538E-2</v>
      </c>
      <c r="Q3" s="16">
        <f>G3+I3+K3+M3+O3</f>
        <v>3851434.0699999989</v>
      </c>
      <c r="R3" s="13">
        <f>H3+J3+L3+N3+P3</f>
        <v>0.99999999999999989</v>
      </c>
    </row>
    <row r="4" spans="1:18" x14ac:dyDescent="0.25">
      <c r="A4" s="3">
        <v>43067</v>
      </c>
      <c r="B4" s="3" t="s">
        <v>66</v>
      </c>
      <c r="C4" s="1">
        <v>45000</v>
      </c>
      <c r="D4" s="1">
        <f>D3+C4</f>
        <v>127819.02</v>
      </c>
      <c r="E4" s="1">
        <f>E3-45000</f>
        <v>3723615.05</v>
      </c>
      <c r="F4" s="1">
        <f>D4+E4</f>
        <v>3851434.07</v>
      </c>
      <c r="G4" s="16">
        <f>G3</f>
        <v>2427736.5503698643</v>
      </c>
      <c r="H4" s="19">
        <f>G4/F4</f>
        <v>0.63034612724653605</v>
      </c>
      <c r="I4" s="1">
        <f>I3</f>
        <v>1006164.5341397582</v>
      </c>
      <c r="J4" s="19">
        <f>I4/F4</f>
        <v>0.26124412773337652</v>
      </c>
      <c r="K4" s="16">
        <f>K3</f>
        <v>71991.836507552536</v>
      </c>
      <c r="L4" s="19">
        <f>K4/F4</f>
        <v>1.8692215730322117E-2</v>
      </c>
      <c r="M4" s="16">
        <f>M3</f>
        <v>293073.70405520173</v>
      </c>
      <c r="N4" s="19">
        <f>M4/F4</f>
        <v>7.6094695827209569E-2</v>
      </c>
      <c r="O4" s="16">
        <f>O3</f>
        <v>52467.44492762247</v>
      </c>
      <c r="P4" s="19">
        <f>O4/F4</f>
        <v>1.3622833462555538E-2</v>
      </c>
      <c r="Q4" s="16">
        <f t="shared" ref="Q4:R35" si="0">G4+I4+K4+M4+O4</f>
        <v>3851434.0699999989</v>
      </c>
      <c r="R4" s="13">
        <f t="shared" si="0"/>
        <v>0.99999999999999989</v>
      </c>
    </row>
    <row r="5" spans="1:18" x14ac:dyDescent="0.25">
      <c r="A5" s="3">
        <v>43068</v>
      </c>
      <c r="B5" t="s">
        <v>60</v>
      </c>
      <c r="C5" s="1">
        <f>-708.34*2</f>
        <v>-1416.68</v>
      </c>
      <c r="D5" s="1">
        <f>D4+C5</f>
        <v>126402.34000000001</v>
      </c>
      <c r="E5" s="1">
        <f>E4</f>
        <v>3723615.05</v>
      </c>
      <c r="F5" s="1">
        <f>D5+E5</f>
        <v>3850017.3899999997</v>
      </c>
      <c r="G5" s="16">
        <f>G4+C5</f>
        <v>2426319.8703698642</v>
      </c>
      <c r="H5" s="19">
        <f>G5/F5</f>
        <v>0.63021010675743061</v>
      </c>
      <c r="I5" s="1">
        <f>I4</f>
        <v>1006164.5341397582</v>
      </c>
      <c r="J5" s="19">
        <f>I5/F5</f>
        <v>0.26134025699550367</v>
      </c>
      <c r="K5" s="16">
        <f>K4</f>
        <v>71991.836507552536</v>
      </c>
      <c r="L5" s="19">
        <f>K5/F5</f>
        <v>1.8699093852028691E-2</v>
      </c>
      <c r="M5" s="16">
        <f>M4</f>
        <v>293073.70405520173</v>
      </c>
      <c r="N5" s="19">
        <f>M5/F5</f>
        <v>7.6122696177016946E-2</v>
      </c>
      <c r="O5" s="16">
        <f>O4</f>
        <v>52467.44492762247</v>
      </c>
      <c r="P5" s="19">
        <f>O5/F5</f>
        <v>1.3627846218019933E-2</v>
      </c>
      <c r="Q5" s="16">
        <f t="shared" si="0"/>
        <v>3850017.3899999992</v>
      </c>
      <c r="R5" s="13">
        <f t="shared" si="0"/>
        <v>0.99999999999999989</v>
      </c>
    </row>
    <row r="6" spans="1:18" x14ac:dyDescent="0.25">
      <c r="A6" s="3">
        <v>43068</v>
      </c>
      <c r="B6" t="s">
        <v>61</v>
      </c>
      <c r="C6" s="1">
        <f>-2927.93+-2927.54</f>
        <v>-5855.4699999999993</v>
      </c>
      <c r="D6" s="1">
        <f>D5+C6</f>
        <v>120546.87000000001</v>
      </c>
      <c r="E6" s="1">
        <f>E5</f>
        <v>3723615.05</v>
      </c>
      <c r="F6" s="1">
        <f>D6+E6</f>
        <v>3844161.92</v>
      </c>
      <c r="G6" s="16">
        <f>G5</f>
        <v>2426319.8703698642</v>
      </c>
      <c r="H6" s="19">
        <f t="shared" ref="H6:H50" si="1">G6/F6</f>
        <v>0.63117004976987656</v>
      </c>
      <c r="I6" s="1">
        <f>I5+C6</f>
        <v>1000309.0641397582</v>
      </c>
      <c r="J6" s="19">
        <f t="shared" ref="J6:J50" si="2">I6/F6</f>
        <v>0.26021512229634652</v>
      </c>
      <c r="K6" s="16">
        <f>K5</f>
        <v>71991.836507552536</v>
      </c>
      <c r="L6" s="19">
        <f t="shared" ref="L6:L50" si="3">K6/F6</f>
        <v>1.8727576518824819E-2</v>
      </c>
      <c r="M6" s="16">
        <f>M5</f>
        <v>293073.70405520173</v>
      </c>
      <c r="N6" s="19">
        <f t="shared" ref="N6:N50" si="4">M6/F6</f>
        <v>7.6238647110681984E-2</v>
      </c>
      <c r="O6" s="16">
        <f>O5</f>
        <v>52467.44492762247</v>
      </c>
      <c r="P6" s="19">
        <f t="shared" ref="P6:P50" si="5">O6/F6</f>
        <v>1.3648604304269908E-2</v>
      </c>
      <c r="Q6" s="16">
        <f t="shared" si="0"/>
        <v>3844161.9199999995</v>
      </c>
      <c r="R6" s="13">
        <f t="shared" si="0"/>
        <v>0.99999999999999989</v>
      </c>
    </row>
    <row r="7" spans="1:18" x14ac:dyDescent="0.25">
      <c r="A7" s="3">
        <v>43070</v>
      </c>
      <c r="B7" t="s">
        <v>62</v>
      </c>
      <c r="C7" s="1">
        <v>3</v>
      </c>
      <c r="D7" s="1">
        <f t="shared" ref="D7:D50" si="6">D6+C7</f>
        <v>120549.87000000001</v>
      </c>
      <c r="E7" s="1">
        <f t="shared" ref="E7:E50" si="7">E6</f>
        <v>3723615.05</v>
      </c>
      <c r="F7" s="1">
        <f t="shared" ref="F7:F50" si="8">D7+E7</f>
        <v>3844164.92</v>
      </c>
      <c r="G7" s="16">
        <f>G6+(H6*C7)</f>
        <v>2426321.7638800135</v>
      </c>
      <c r="H7" s="19">
        <f t="shared" si="1"/>
        <v>0.63117004976987656</v>
      </c>
      <c r="I7" s="1">
        <f>I6+(J6*C7)</f>
        <v>1000309.8447851251</v>
      </c>
      <c r="J7" s="19">
        <f t="shared" si="2"/>
        <v>0.26021512229634652</v>
      </c>
      <c r="K7" s="16">
        <f>K6+(L6*C7)</f>
        <v>71991.892690282097</v>
      </c>
      <c r="L7" s="19">
        <f t="shared" si="3"/>
        <v>1.8727576518824823E-2</v>
      </c>
      <c r="M7" s="16">
        <f>M6+(N6*C7)</f>
        <v>293073.93277114304</v>
      </c>
      <c r="N7" s="19">
        <f t="shared" si="4"/>
        <v>7.6238647110681984E-2</v>
      </c>
      <c r="O7" s="16">
        <f>O6+(P6*C7)</f>
        <v>52467.485873435384</v>
      </c>
      <c r="P7" s="19">
        <f t="shared" si="5"/>
        <v>1.3648604304269908E-2</v>
      </c>
      <c r="Q7" s="16">
        <f t="shared" si="0"/>
        <v>3844164.919999999</v>
      </c>
      <c r="R7" s="13">
        <f t="shared" si="0"/>
        <v>0.99999999999999989</v>
      </c>
    </row>
    <row r="8" spans="1:18" x14ac:dyDescent="0.25">
      <c r="A8" s="3">
        <v>43080</v>
      </c>
      <c r="B8" t="s">
        <v>63</v>
      </c>
      <c r="C8" s="1">
        <v>-708.34</v>
      </c>
      <c r="D8" s="1">
        <f t="shared" si="6"/>
        <v>119841.53000000001</v>
      </c>
      <c r="E8" s="1">
        <f t="shared" si="7"/>
        <v>3723615.05</v>
      </c>
      <c r="F8" s="1">
        <f t="shared" si="8"/>
        <v>3843456.5799999996</v>
      </c>
      <c r="G8" s="16">
        <f>G7+C8</f>
        <v>2425613.4238800136</v>
      </c>
      <c r="H8" s="19">
        <f t="shared" si="1"/>
        <v>0.63110207527829387</v>
      </c>
      <c r="I8" s="1">
        <f>I7</f>
        <v>1000309.8447851251</v>
      </c>
      <c r="J8" s="19">
        <f t="shared" si="2"/>
        <v>0.26026307933082599</v>
      </c>
      <c r="K8" s="16">
        <f>K7</f>
        <v>71991.892690282097</v>
      </c>
      <c r="L8" s="19">
        <f t="shared" si="3"/>
        <v>1.8731027967091567E-2</v>
      </c>
      <c r="M8" s="16">
        <f>M7</f>
        <v>293073.93277114304</v>
      </c>
      <c r="N8" s="19">
        <f t="shared" si="4"/>
        <v>7.6252697713874801E-2</v>
      </c>
      <c r="O8" s="16">
        <f>O7</f>
        <v>52467.485873435384</v>
      </c>
      <c r="P8" s="19">
        <f t="shared" si="5"/>
        <v>1.3651119709913671E-2</v>
      </c>
      <c r="Q8" s="16">
        <f t="shared" si="0"/>
        <v>3843456.5799999991</v>
      </c>
      <c r="R8" s="13">
        <f t="shared" si="0"/>
        <v>0.99999999999999989</v>
      </c>
    </row>
    <row r="9" spans="1:18" x14ac:dyDescent="0.25">
      <c r="A9" s="3">
        <v>43080</v>
      </c>
      <c r="B9" t="s">
        <v>64</v>
      </c>
      <c r="C9" s="1">
        <v>-2927.54</v>
      </c>
      <c r="D9" s="1">
        <f t="shared" si="6"/>
        <v>116913.99000000002</v>
      </c>
      <c r="E9" s="1">
        <f t="shared" si="7"/>
        <v>3723615.05</v>
      </c>
      <c r="F9" s="1">
        <f t="shared" si="8"/>
        <v>3840529.04</v>
      </c>
      <c r="G9" s="16">
        <f>G8</f>
        <v>2425613.4238800136</v>
      </c>
      <c r="H9" s="19">
        <f t="shared" si="1"/>
        <v>0.63158314873203347</v>
      </c>
      <c r="I9" s="1">
        <f>I8+C9</f>
        <v>997382.30478512507</v>
      </c>
      <c r="J9" s="19">
        <f t="shared" si="2"/>
        <v>0.25969919622977911</v>
      </c>
      <c r="K9" s="16">
        <f>K8</f>
        <v>71991.892690282097</v>
      </c>
      <c r="L9" s="19">
        <f t="shared" si="3"/>
        <v>1.8745306164976192E-2</v>
      </c>
      <c r="M9" s="16">
        <f>M8</f>
        <v>293073.93277114304</v>
      </c>
      <c r="N9" s="19">
        <f t="shared" si="4"/>
        <v>7.6310823253439852E-2</v>
      </c>
      <c r="O9" s="16">
        <f>O8</f>
        <v>52467.485873435384</v>
      </c>
      <c r="P9" s="19">
        <f t="shared" si="5"/>
        <v>1.3661525619771225E-2</v>
      </c>
      <c r="Q9" s="16">
        <f t="shared" si="0"/>
        <v>3840529.0399999991</v>
      </c>
      <c r="R9" s="13">
        <f t="shared" si="0"/>
        <v>0.99999999999999978</v>
      </c>
    </row>
    <row r="10" spans="1:18" x14ac:dyDescent="0.25">
      <c r="A10" s="3">
        <v>43082</v>
      </c>
      <c r="B10" t="s">
        <v>62</v>
      </c>
      <c r="C10" s="1">
        <v>3.94</v>
      </c>
      <c r="D10" s="1">
        <f t="shared" si="6"/>
        <v>116917.93000000002</v>
      </c>
      <c r="E10" s="1">
        <f t="shared" si="7"/>
        <v>3723615.05</v>
      </c>
      <c r="F10" s="1">
        <f t="shared" si="8"/>
        <v>3840532.98</v>
      </c>
      <c r="G10" s="16">
        <f t="shared" ref="G10:G32" si="9">G9+(H9*C10)</f>
        <v>2425615.9123176197</v>
      </c>
      <c r="H10" s="19">
        <f t="shared" si="1"/>
        <v>0.63158314873203347</v>
      </c>
      <c r="I10" s="1">
        <f t="shared" ref="I10:I32" si="10">I9+(J9*C10)</f>
        <v>997383.32799995819</v>
      </c>
      <c r="J10" s="19">
        <f t="shared" si="2"/>
        <v>0.25969919622977905</v>
      </c>
      <c r="K10" s="16">
        <f t="shared" ref="K10:K32" si="11">K9+(L9*C10)</f>
        <v>71991.96654678839</v>
      </c>
      <c r="L10" s="19">
        <f t="shared" si="3"/>
        <v>1.8745306164976192E-2</v>
      </c>
      <c r="M10" s="16">
        <f t="shared" ref="M10:M27" si="12">M9+(N9*C10)</f>
        <v>293074.23343578668</v>
      </c>
      <c r="N10" s="19">
        <f t="shared" si="4"/>
        <v>7.6310823253439866E-2</v>
      </c>
      <c r="O10" s="16">
        <f t="shared" ref="O10:O32" si="13">O9+(P9*C10)</f>
        <v>52467.539699846326</v>
      </c>
      <c r="P10" s="19">
        <f t="shared" si="5"/>
        <v>1.3661525619771225E-2</v>
      </c>
      <c r="Q10" s="16">
        <f t="shared" si="0"/>
        <v>3840532.9799999995</v>
      </c>
      <c r="R10" s="13">
        <f t="shared" si="0"/>
        <v>0.99999999999999978</v>
      </c>
    </row>
    <row r="11" spans="1:18" x14ac:dyDescent="0.25">
      <c r="A11" s="3">
        <v>43102</v>
      </c>
      <c r="B11" t="s">
        <v>67</v>
      </c>
      <c r="C11" s="1">
        <v>-17967.48</v>
      </c>
      <c r="D11" s="1">
        <f t="shared" si="6"/>
        <v>98950.450000000026</v>
      </c>
      <c r="E11" s="1">
        <f t="shared" si="7"/>
        <v>3723615.05</v>
      </c>
      <c r="F11" s="1">
        <f t="shared" si="8"/>
        <v>3822565.5</v>
      </c>
      <c r="G11" s="16">
        <f>G10</f>
        <v>2425615.9123176197</v>
      </c>
      <c r="H11" s="19">
        <f t="shared" si="1"/>
        <v>0.63455182450572001</v>
      </c>
      <c r="I11" s="1">
        <f>I10+(17967.48*3)</f>
        <v>1051285.7679999582</v>
      </c>
      <c r="J11" s="19">
        <f t="shared" si="2"/>
        <v>0.2750209951928772</v>
      </c>
      <c r="K11" s="17">
        <f>K10-(17967.48*4)</f>
        <v>122.04654678839142</v>
      </c>
      <c r="L11" s="19">
        <f t="shared" si="3"/>
        <v>3.1927915110517116E-5</v>
      </c>
      <c r="M11" s="16">
        <f>M10</f>
        <v>293074.23343578668</v>
      </c>
      <c r="N11" s="19">
        <f t="shared" si="4"/>
        <v>7.6669512513464239E-2</v>
      </c>
      <c r="O11" s="16">
        <f>O10</f>
        <v>52467.539699846326</v>
      </c>
      <c r="P11" s="19">
        <f t="shared" si="5"/>
        <v>1.3725739872827903E-2</v>
      </c>
      <c r="Q11" s="16">
        <f t="shared" si="0"/>
        <v>3822565.4999999995</v>
      </c>
      <c r="R11" s="13">
        <f t="shared" si="0"/>
        <v>0.99999999999999989</v>
      </c>
    </row>
    <row r="12" spans="1:18" x14ac:dyDescent="0.25">
      <c r="A12" s="3">
        <v>43105</v>
      </c>
      <c r="B12" t="s">
        <v>68</v>
      </c>
      <c r="C12" s="1">
        <v>-2533.5100000000002</v>
      </c>
      <c r="D12" s="1">
        <f t="shared" si="6"/>
        <v>96416.940000000031</v>
      </c>
      <c r="E12" s="1">
        <f t="shared" si="7"/>
        <v>3723615.05</v>
      </c>
      <c r="F12" s="1">
        <f t="shared" si="8"/>
        <v>3820031.9899999998</v>
      </c>
      <c r="G12" s="16">
        <f>G11+(C12*0.19471)</f>
        <v>2425122.6125855194</v>
      </c>
      <c r="H12" s="19">
        <f t="shared" si="1"/>
        <v>0.63484353506304525</v>
      </c>
      <c r="I12" s="1">
        <f>I11+(C12*0.80529)</f>
        <v>1049245.5577320582</v>
      </c>
      <c r="J12" s="19">
        <f t="shared" si="2"/>
        <v>0.27466931179601412</v>
      </c>
      <c r="K12" s="16">
        <f>K11</f>
        <v>122.04654678839142</v>
      </c>
      <c r="L12" s="19">
        <f t="shared" si="3"/>
        <v>3.1949090245286513E-5</v>
      </c>
      <c r="M12" s="16">
        <f>M11</f>
        <v>293074.23343578668</v>
      </c>
      <c r="N12" s="19">
        <f t="shared" si="4"/>
        <v>7.6720361034407644E-2</v>
      </c>
      <c r="O12" s="16">
        <f>O11</f>
        <v>52467.539699846326</v>
      </c>
      <c r="P12" s="19">
        <f t="shared" si="5"/>
        <v>1.3734843016287497E-2</v>
      </c>
      <c r="Q12" s="16">
        <f t="shared" si="0"/>
        <v>3820031.9899999993</v>
      </c>
      <c r="R12" s="13">
        <f t="shared" si="0"/>
        <v>0.99999999999999978</v>
      </c>
    </row>
    <row r="13" spans="1:18" x14ac:dyDescent="0.25">
      <c r="A13" s="3">
        <v>43109</v>
      </c>
      <c r="B13" t="s">
        <v>64</v>
      </c>
      <c r="C13" s="1">
        <v>-2927.54</v>
      </c>
      <c r="D13" s="1">
        <f t="shared" si="6"/>
        <v>93489.400000000038</v>
      </c>
      <c r="E13" s="1">
        <f t="shared" si="7"/>
        <v>3723615.05</v>
      </c>
      <c r="F13" s="1">
        <f t="shared" si="8"/>
        <v>3817104.4499999997</v>
      </c>
      <c r="G13" s="16">
        <f>G12</f>
        <v>2425122.6125855194</v>
      </c>
      <c r="H13" s="19">
        <f t="shared" si="1"/>
        <v>0.63533043026515024</v>
      </c>
      <c r="I13" s="1">
        <f>I12+C13</f>
        <v>1046318.0177320582</v>
      </c>
      <c r="J13" s="19">
        <f t="shared" si="2"/>
        <v>0.2741130171934536</v>
      </c>
      <c r="K13" s="16">
        <f>K12</f>
        <v>122.04654678839142</v>
      </c>
      <c r="L13" s="19">
        <f t="shared" si="3"/>
        <v>3.1973593698331057E-5</v>
      </c>
      <c r="M13" s="16">
        <f>M12</f>
        <v>293074.23343578668</v>
      </c>
      <c r="N13" s="19">
        <f t="shared" si="4"/>
        <v>7.6779201951308065E-2</v>
      </c>
      <c r="O13" s="16">
        <f>O12</f>
        <v>52467.539699846326</v>
      </c>
      <c r="P13" s="19">
        <f t="shared" si="5"/>
        <v>1.3745376996389587E-2</v>
      </c>
      <c r="Q13" s="16">
        <f t="shared" si="0"/>
        <v>3817104.4499999993</v>
      </c>
      <c r="R13" s="13">
        <f t="shared" si="0"/>
        <v>0.99999999999999978</v>
      </c>
    </row>
    <row r="14" spans="1:18" x14ac:dyDescent="0.25">
      <c r="A14" s="3">
        <v>43111</v>
      </c>
      <c r="B14" t="s">
        <v>63</v>
      </c>
      <c r="C14" s="1">
        <v>-708.34</v>
      </c>
      <c r="D14" s="1">
        <f t="shared" si="6"/>
        <v>92781.060000000041</v>
      </c>
      <c r="E14" s="1">
        <f t="shared" si="7"/>
        <v>3723615.05</v>
      </c>
      <c r="F14" s="1">
        <f t="shared" si="8"/>
        <v>3816396.11</v>
      </c>
      <c r="G14" s="16">
        <f>G13+C14</f>
        <v>2424414.2725855196</v>
      </c>
      <c r="H14" s="19">
        <f t="shared" si="1"/>
        <v>0.63526274597987675</v>
      </c>
      <c r="I14" s="1">
        <f>I13</f>
        <v>1046318.0177320582</v>
      </c>
      <c r="J14" s="19">
        <f t="shared" si="2"/>
        <v>0.27416389378199479</v>
      </c>
      <c r="K14" s="16">
        <f>K13</f>
        <v>122.04654678839142</v>
      </c>
      <c r="L14" s="19">
        <f t="shared" si="3"/>
        <v>3.197952813875796E-5</v>
      </c>
      <c r="M14" s="16">
        <f>M13</f>
        <v>293074.23343578668</v>
      </c>
      <c r="N14" s="19">
        <f t="shared" si="4"/>
        <v>7.6793452510826157E-2</v>
      </c>
      <c r="O14" s="16">
        <f>O13</f>
        <v>52467.539699846326</v>
      </c>
      <c r="P14" s="19">
        <f t="shared" si="5"/>
        <v>1.3747928199163354E-2</v>
      </c>
      <c r="Q14" s="16">
        <f t="shared" si="0"/>
        <v>3816396.1099999994</v>
      </c>
      <c r="R14" s="13">
        <f t="shared" si="0"/>
        <v>0.99999999999999978</v>
      </c>
    </row>
    <row r="15" spans="1:18" x14ac:dyDescent="0.25">
      <c r="A15" s="5">
        <v>43125</v>
      </c>
      <c r="B15" s="6" t="s">
        <v>69</v>
      </c>
      <c r="C15" s="4">
        <v>25000</v>
      </c>
      <c r="D15" s="4">
        <f t="shared" si="6"/>
        <v>117781.06000000004</v>
      </c>
      <c r="E15" s="4">
        <f t="shared" si="7"/>
        <v>3723615.05</v>
      </c>
      <c r="F15" s="4">
        <f t="shared" si="8"/>
        <v>3841396.11</v>
      </c>
      <c r="G15" s="17">
        <f t="shared" si="9"/>
        <v>2440295.8412350165</v>
      </c>
      <c r="H15" s="20">
        <f t="shared" si="1"/>
        <v>0.63526274597987675</v>
      </c>
      <c r="I15" s="4">
        <f t="shared" si="10"/>
        <v>1053172.115076608</v>
      </c>
      <c r="J15" s="20">
        <f t="shared" si="2"/>
        <v>0.27416389378199479</v>
      </c>
      <c r="K15" s="17">
        <f t="shared" si="11"/>
        <v>122.84603499186038</v>
      </c>
      <c r="L15" s="20">
        <f t="shared" si="3"/>
        <v>3.1979528138757967E-5</v>
      </c>
      <c r="M15" s="17">
        <f t="shared" si="12"/>
        <v>294994.06974855735</v>
      </c>
      <c r="N15" s="20">
        <f t="shared" si="4"/>
        <v>7.6793452510826157E-2</v>
      </c>
      <c r="O15" s="17">
        <f t="shared" si="13"/>
        <v>52811.237904825408</v>
      </c>
      <c r="P15" s="20">
        <f t="shared" si="5"/>
        <v>1.3747928199163354E-2</v>
      </c>
      <c r="Q15" s="17">
        <f t="shared" si="0"/>
        <v>3841396.1099999989</v>
      </c>
      <c r="R15" s="14">
        <f t="shared" si="0"/>
        <v>0.99999999999999978</v>
      </c>
    </row>
    <row r="16" spans="1:18" x14ac:dyDescent="0.25">
      <c r="A16" s="3">
        <v>43126</v>
      </c>
      <c r="B16" t="s">
        <v>70</v>
      </c>
      <c r="C16" s="1">
        <v>-57435.57</v>
      </c>
      <c r="D16" s="1">
        <f t="shared" si="6"/>
        <v>60345.490000000042</v>
      </c>
      <c r="E16" s="1">
        <f t="shared" si="7"/>
        <v>3723615.05</v>
      </c>
      <c r="F16" s="1">
        <f t="shared" si="8"/>
        <v>3783960.54</v>
      </c>
      <c r="G16" s="16">
        <f>G15+C16</f>
        <v>2382860.2712350166</v>
      </c>
      <c r="H16" s="19">
        <f t="shared" si="1"/>
        <v>0.62972651169216909</v>
      </c>
      <c r="I16" s="1">
        <f>I15</f>
        <v>1053172.115076608</v>
      </c>
      <c r="J16" s="19">
        <f t="shared" si="2"/>
        <v>0.27832534296898559</v>
      </c>
      <c r="K16" s="16">
        <f t="shared" ref="K16:K25" si="14">K15</f>
        <v>122.84603499186038</v>
      </c>
      <c r="L16" s="19">
        <f t="shared" si="3"/>
        <v>3.2464935533355319E-5</v>
      </c>
      <c r="M16" s="16">
        <f t="shared" ref="M16:M25" si="15">M15</f>
        <v>294994.06974855735</v>
      </c>
      <c r="N16" s="19">
        <f t="shared" si="4"/>
        <v>7.7959076642104025E-2</v>
      </c>
      <c r="O16" s="16">
        <f t="shared" ref="O16:O25" si="16">O15</f>
        <v>52811.237904825408</v>
      </c>
      <c r="P16" s="19">
        <f t="shared" si="5"/>
        <v>1.395660376120767E-2</v>
      </c>
      <c r="Q16" s="16">
        <f t="shared" si="0"/>
        <v>3783960.5399999991</v>
      </c>
      <c r="R16" s="13">
        <f t="shared" si="0"/>
        <v>0.99999999999999967</v>
      </c>
    </row>
    <row r="17" spans="1:18" x14ac:dyDescent="0.25">
      <c r="A17" s="3">
        <v>43129</v>
      </c>
      <c r="B17" t="s">
        <v>71</v>
      </c>
      <c r="C17" s="1">
        <v>-43202.080000000002</v>
      </c>
      <c r="D17" s="1">
        <f t="shared" si="6"/>
        <v>17143.41000000004</v>
      </c>
      <c r="E17" s="1">
        <f t="shared" si="7"/>
        <v>3723615.05</v>
      </c>
      <c r="F17" s="1">
        <f t="shared" si="8"/>
        <v>3740758.46</v>
      </c>
      <c r="G17" s="16">
        <f>G16+C17</f>
        <v>2339658.1912350166</v>
      </c>
      <c r="H17" s="19">
        <f t="shared" si="1"/>
        <v>0.62545021718269844</v>
      </c>
      <c r="I17" s="1">
        <f>I16</f>
        <v>1053172.115076608</v>
      </c>
      <c r="J17" s="19">
        <f t="shared" si="2"/>
        <v>0.28153972685972567</v>
      </c>
      <c r="K17" s="16">
        <f t="shared" si="14"/>
        <v>122.84603499186038</v>
      </c>
      <c r="L17" s="19">
        <f t="shared" si="3"/>
        <v>3.2839873599286168E-5</v>
      </c>
      <c r="M17" s="16">
        <f t="shared" si="15"/>
        <v>294994.06974855735</v>
      </c>
      <c r="N17" s="19">
        <f t="shared" si="4"/>
        <v>7.8859427280038114E-2</v>
      </c>
      <c r="O17" s="16">
        <f t="shared" si="16"/>
        <v>52811.237904825408</v>
      </c>
      <c r="P17" s="19">
        <f t="shared" si="5"/>
        <v>1.4117788803938281E-2</v>
      </c>
      <c r="Q17" s="16">
        <f t="shared" si="0"/>
        <v>3740758.459999999</v>
      </c>
      <c r="R17" s="13">
        <f t="shared" si="0"/>
        <v>0.99999999999999978</v>
      </c>
    </row>
    <row r="18" spans="1:18" x14ac:dyDescent="0.25">
      <c r="A18" s="3">
        <v>43129</v>
      </c>
      <c r="B18" t="s">
        <v>72</v>
      </c>
      <c r="C18" s="1">
        <v>-70.69</v>
      </c>
      <c r="D18" s="1">
        <f t="shared" si="6"/>
        <v>17072.720000000041</v>
      </c>
      <c r="E18" s="1">
        <f t="shared" si="7"/>
        <v>3723615.05</v>
      </c>
      <c r="F18" s="1">
        <f t="shared" si="8"/>
        <v>3740687.77</v>
      </c>
      <c r="G18" s="16">
        <f>G17+C18</f>
        <v>2339587.5012350166</v>
      </c>
      <c r="H18" s="19">
        <f t="shared" si="1"/>
        <v>0.62544313909284566</v>
      </c>
      <c r="I18" s="1">
        <f>I17</f>
        <v>1053172.115076608</v>
      </c>
      <c r="J18" s="19">
        <f t="shared" si="2"/>
        <v>0.28154504728327218</v>
      </c>
      <c r="K18" s="16">
        <f t="shared" si="14"/>
        <v>122.84603499186038</v>
      </c>
      <c r="L18" s="19">
        <f t="shared" si="3"/>
        <v>3.2840494193895358E-5</v>
      </c>
      <c r="M18" s="16">
        <f t="shared" si="15"/>
        <v>294994.06974855735</v>
      </c>
      <c r="N18" s="19">
        <f t="shared" si="4"/>
        <v>7.8860917533504105E-2</v>
      </c>
      <c r="O18" s="16">
        <f t="shared" si="16"/>
        <v>52811.237904825408</v>
      </c>
      <c r="P18" s="19">
        <f t="shared" si="5"/>
        <v>1.4118055596183962E-2</v>
      </c>
      <c r="Q18" s="16">
        <f t="shared" si="0"/>
        <v>3740687.7699999991</v>
      </c>
      <c r="R18" s="13">
        <f t="shared" si="0"/>
        <v>0.99999999999999978</v>
      </c>
    </row>
    <row r="19" spans="1:18" x14ac:dyDescent="0.25">
      <c r="A19" s="3">
        <v>43145</v>
      </c>
      <c r="B19" t="s">
        <v>71</v>
      </c>
      <c r="C19" s="1">
        <v>-201.76</v>
      </c>
      <c r="D19" s="1">
        <f t="shared" si="6"/>
        <v>16870.960000000043</v>
      </c>
      <c r="E19" s="1">
        <f t="shared" si="7"/>
        <v>3723615.05</v>
      </c>
      <c r="F19" s="1">
        <f t="shared" si="8"/>
        <v>3740486.01</v>
      </c>
      <c r="G19" s="16">
        <f>G18+C19</f>
        <v>2339385.7412350168</v>
      </c>
      <c r="H19" s="19">
        <f t="shared" si="1"/>
        <v>0.62542293567755303</v>
      </c>
      <c r="I19" s="1">
        <f>I18</f>
        <v>1053172.115076608</v>
      </c>
      <c r="J19" s="19">
        <f t="shared" si="2"/>
        <v>0.2815602336864797</v>
      </c>
      <c r="K19" s="16">
        <f t="shared" si="14"/>
        <v>122.84603499186038</v>
      </c>
      <c r="L19" s="19">
        <f t="shared" si="3"/>
        <v>3.2842265594213623E-5</v>
      </c>
      <c r="M19" s="16">
        <f t="shared" si="15"/>
        <v>294994.06974855735</v>
      </c>
      <c r="N19" s="19">
        <f t="shared" si="4"/>
        <v>7.8865171253122091E-2</v>
      </c>
      <c r="O19" s="16">
        <f t="shared" si="16"/>
        <v>52811.237904825408</v>
      </c>
      <c r="P19" s="19">
        <f t="shared" si="5"/>
        <v>1.4118817117250871E-2</v>
      </c>
      <c r="Q19" s="16">
        <f t="shared" si="0"/>
        <v>3740486.0099999993</v>
      </c>
      <c r="R19" s="13">
        <f t="shared" si="0"/>
        <v>0.99999999999999978</v>
      </c>
    </row>
    <row r="20" spans="1:18" x14ac:dyDescent="0.25">
      <c r="A20" s="3">
        <v>43145</v>
      </c>
      <c r="B20" t="s">
        <v>73</v>
      </c>
      <c r="C20" s="1">
        <v>-1822.06</v>
      </c>
      <c r="D20" s="1">
        <f t="shared" si="6"/>
        <v>15048.900000000043</v>
      </c>
      <c r="E20" s="1">
        <f t="shared" si="7"/>
        <v>3723615.05</v>
      </c>
      <c r="F20" s="1">
        <f t="shared" si="8"/>
        <v>3738663.9499999997</v>
      </c>
      <c r="G20" s="16">
        <f>G19</f>
        <v>2339385.7412350168</v>
      </c>
      <c r="H20" s="19">
        <f t="shared" si="1"/>
        <v>0.62572773924626657</v>
      </c>
      <c r="I20" s="1">
        <f>I19+C20</f>
        <v>1051350.055076608</v>
      </c>
      <c r="J20" s="19">
        <f t="shared" si="2"/>
        <v>0.28121009781491807</v>
      </c>
      <c r="K20" s="16">
        <f t="shared" si="14"/>
        <v>122.84603499186038</v>
      </c>
      <c r="L20" s="19">
        <f t="shared" si="3"/>
        <v>3.2858271466698787E-5</v>
      </c>
      <c r="M20" s="16">
        <f t="shared" si="15"/>
        <v>294994.06974855735</v>
      </c>
      <c r="N20" s="19">
        <f t="shared" si="4"/>
        <v>7.8903606661025888E-2</v>
      </c>
      <c r="O20" s="16">
        <f t="shared" si="16"/>
        <v>52811.237904825408</v>
      </c>
      <c r="P20" s="19">
        <f t="shared" si="5"/>
        <v>1.4125698006322664E-2</v>
      </c>
      <c r="Q20" s="16">
        <f t="shared" si="0"/>
        <v>3738663.9499999993</v>
      </c>
      <c r="R20" s="13">
        <f t="shared" si="0"/>
        <v>1</v>
      </c>
    </row>
    <row r="21" spans="1:18" x14ac:dyDescent="0.25">
      <c r="A21" s="3">
        <v>43145</v>
      </c>
      <c r="B21" t="s">
        <v>73</v>
      </c>
      <c r="C21" s="1">
        <v>-1822.47</v>
      </c>
      <c r="D21" s="1">
        <f t="shared" si="6"/>
        <v>13226.430000000044</v>
      </c>
      <c r="E21" s="1">
        <f t="shared" si="7"/>
        <v>3723615.05</v>
      </c>
      <c r="F21" s="1">
        <f t="shared" si="8"/>
        <v>3736841.48</v>
      </c>
      <c r="G21" s="16">
        <f>G20</f>
        <v>2339385.7412350168</v>
      </c>
      <c r="H21" s="19">
        <f t="shared" si="1"/>
        <v>0.6260329087427644</v>
      </c>
      <c r="I21" s="1">
        <f>I20+C21</f>
        <v>1049527.585076608</v>
      </c>
      <c r="J21" s="19">
        <f t="shared" si="2"/>
        <v>0.28085954159249166</v>
      </c>
      <c r="K21" s="16">
        <f t="shared" si="14"/>
        <v>122.84603499186038</v>
      </c>
      <c r="L21" s="19">
        <f t="shared" si="3"/>
        <v>3.2874296554816766E-5</v>
      </c>
      <c r="M21" s="16">
        <f t="shared" si="15"/>
        <v>294994.06974855735</v>
      </c>
      <c r="N21" s="19">
        <f t="shared" si="4"/>
        <v>7.894208821203659E-2</v>
      </c>
      <c r="O21" s="16">
        <f t="shared" si="16"/>
        <v>52811.237904825408</v>
      </c>
      <c r="P21" s="19">
        <f t="shared" si="5"/>
        <v>1.4132587156152369E-2</v>
      </c>
      <c r="Q21" s="16">
        <f t="shared" si="0"/>
        <v>3736841.4799999991</v>
      </c>
      <c r="R21" s="13">
        <f t="shared" si="0"/>
        <v>0.99999999999999989</v>
      </c>
    </row>
    <row r="22" spans="1:18" x14ac:dyDescent="0.25">
      <c r="A22" s="3">
        <v>43146</v>
      </c>
      <c r="B22" t="s">
        <v>64</v>
      </c>
      <c r="C22" s="1">
        <v>-2927.53</v>
      </c>
      <c r="D22" s="1">
        <f t="shared" si="6"/>
        <v>10298.900000000043</v>
      </c>
      <c r="E22" s="1">
        <f t="shared" si="7"/>
        <v>3723615.05</v>
      </c>
      <c r="F22" s="1">
        <f t="shared" si="8"/>
        <v>3733913.9499999997</v>
      </c>
      <c r="G22" s="16">
        <f>G21</f>
        <v>2339385.7412350168</v>
      </c>
      <c r="H22" s="19">
        <f t="shared" si="1"/>
        <v>0.62652374226112439</v>
      </c>
      <c r="I22" s="1">
        <f>I21+C22</f>
        <v>1046600.055076608</v>
      </c>
      <c r="J22" s="19">
        <f t="shared" si="2"/>
        <v>0.28029570822771854</v>
      </c>
      <c r="K22" s="16">
        <f t="shared" si="14"/>
        <v>122.84603499186038</v>
      </c>
      <c r="L22" s="19">
        <f t="shared" si="3"/>
        <v>3.2900071248792538E-5</v>
      </c>
      <c r="M22" s="16">
        <f t="shared" si="15"/>
        <v>294994.06974855735</v>
      </c>
      <c r="N22" s="19">
        <f t="shared" si="4"/>
        <v>7.9003981799997652E-2</v>
      </c>
      <c r="O22" s="16">
        <f t="shared" si="16"/>
        <v>52811.237904825408</v>
      </c>
      <c r="P22" s="19">
        <f t="shared" si="5"/>
        <v>1.4143667639910505E-2</v>
      </c>
      <c r="Q22" s="16">
        <f t="shared" si="0"/>
        <v>3733913.9499999993</v>
      </c>
      <c r="R22" s="13">
        <f t="shared" si="0"/>
        <v>0.99999999999999989</v>
      </c>
    </row>
    <row r="23" spans="1:18" x14ac:dyDescent="0.25">
      <c r="A23" s="3">
        <v>43146</v>
      </c>
      <c r="B23" t="s">
        <v>73</v>
      </c>
      <c r="C23" s="1">
        <v>-1822.47</v>
      </c>
      <c r="D23" s="1">
        <f t="shared" si="6"/>
        <v>8476.4300000000439</v>
      </c>
      <c r="E23" s="1">
        <f t="shared" si="7"/>
        <v>3723615.05</v>
      </c>
      <c r="F23" s="1">
        <f t="shared" si="8"/>
        <v>3732091.48</v>
      </c>
      <c r="G23" s="16">
        <f>G22</f>
        <v>2339385.7412350168</v>
      </c>
      <c r="H23" s="19">
        <f t="shared" si="1"/>
        <v>0.62682968886792045</v>
      </c>
      <c r="I23" s="1">
        <f>I22+C23</f>
        <v>1044777.585076608</v>
      </c>
      <c r="J23" s="19">
        <f t="shared" si="2"/>
        <v>0.27994425931826517</v>
      </c>
      <c r="K23" s="16">
        <f t="shared" si="14"/>
        <v>122.84603499186038</v>
      </c>
      <c r="L23" s="19">
        <f t="shared" si="3"/>
        <v>3.291613714459657E-5</v>
      </c>
      <c r="M23" s="16">
        <f t="shared" si="15"/>
        <v>294994.06974855735</v>
      </c>
      <c r="N23" s="19">
        <f t="shared" si="4"/>
        <v>7.9042561343795711E-2</v>
      </c>
      <c r="O23" s="16">
        <f t="shared" si="16"/>
        <v>52811.237904825408</v>
      </c>
      <c r="P23" s="19">
        <f t="shared" si="5"/>
        <v>1.4150574332873912E-2</v>
      </c>
      <c r="Q23" s="16">
        <f t="shared" si="0"/>
        <v>3732091.4799999991</v>
      </c>
      <c r="R23" s="13">
        <f t="shared" si="0"/>
        <v>0.99999999999999989</v>
      </c>
    </row>
    <row r="24" spans="1:18" x14ac:dyDescent="0.25">
      <c r="A24" s="3">
        <v>43146</v>
      </c>
      <c r="B24" t="s">
        <v>70</v>
      </c>
      <c r="C24" s="1">
        <v>-708.33</v>
      </c>
      <c r="D24" s="1">
        <f t="shared" si="6"/>
        <v>7768.100000000044</v>
      </c>
      <c r="E24" s="1">
        <f t="shared" si="7"/>
        <v>3723615.05</v>
      </c>
      <c r="F24" s="1">
        <f t="shared" si="8"/>
        <v>3731383.15</v>
      </c>
      <c r="G24" s="16">
        <f>G23+C24</f>
        <v>2338677.4112350168</v>
      </c>
      <c r="H24" s="19">
        <f t="shared" si="1"/>
        <v>0.62675884979408159</v>
      </c>
      <c r="I24" s="1">
        <f>I23</f>
        <v>1044777.585076608</v>
      </c>
      <c r="J24" s="19">
        <f t="shared" si="2"/>
        <v>0.2799974012522965</v>
      </c>
      <c r="K24" s="16">
        <f t="shared" si="14"/>
        <v>122.84603499186038</v>
      </c>
      <c r="L24" s="19">
        <f t="shared" si="3"/>
        <v>3.292238562846605E-5</v>
      </c>
      <c r="M24" s="16">
        <f t="shared" si="15"/>
        <v>294994.06974855735</v>
      </c>
      <c r="N24" s="19">
        <f t="shared" si="4"/>
        <v>7.905756602576644E-2</v>
      </c>
      <c r="O24" s="16">
        <f t="shared" si="16"/>
        <v>52811.237904825408</v>
      </c>
      <c r="P24" s="19">
        <f t="shared" si="5"/>
        <v>1.4153260542226924E-2</v>
      </c>
      <c r="Q24" s="16">
        <f t="shared" si="0"/>
        <v>3731383.149999999</v>
      </c>
      <c r="R24" s="13">
        <f t="shared" si="0"/>
        <v>0.99999999999999978</v>
      </c>
    </row>
    <row r="25" spans="1:18" x14ac:dyDescent="0.25">
      <c r="A25" s="3">
        <v>43146</v>
      </c>
      <c r="B25" t="s">
        <v>71</v>
      </c>
      <c r="C25" s="1">
        <v>-202.67</v>
      </c>
      <c r="D25" s="1">
        <f t="shared" si="6"/>
        <v>7565.4300000000439</v>
      </c>
      <c r="E25" s="1">
        <f t="shared" si="7"/>
        <v>3723615.05</v>
      </c>
      <c r="F25" s="1">
        <f t="shared" si="8"/>
        <v>3731180.48</v>
      </c>
      <c r="G25" s="16">
        <f>G24+C25</f>
        <v>2338474.7412350168</v>
      </c>
      <c r="H25" s="19">
        <f t="shared" si="1"/>
        <v>0.62673857610742456</v>
      </c>
      <c r="I25" s="1">
        <f>I24</f>
        <v>1044777.585076608</v>
      </c>
      <c r="J25" s="19">
        <f t="shared" si="2"/>
        <v>0.28001261013152812</v>
      </c>
      <c r="K25" s="16">
        <f t="shared" si="14"/>
        <v>122.84603499186038</v>
      </c>
      <c r="L25" s="19">
        <f t="shared" si="3"/>
        <v>3.2924173904302903E-5</v>
      </c>
      <c r="M25" s="16">
        <f t="shared" si="15"/>
        <v>294994.06974855735</v>
      </c>
      <c r="N25" s="19">
        <f t="shared" si="4"/>
        <v>7.9061860269101045E-2</v>
      </c>
      <c r="O25" s="16">
        <f t="shared" si="16"/>
        <v>52811.237904825408</v>
      </c>
      <c r="P25" s="19">
        <f t="shared" si="5"/>
        <v>1.4154029318041836E-2</v>
      </c>
      <c r="Q25" s="16">
        <f t="shared" si="0"/>
        <v>3731180.4799999991</v>
      </c>
      <c r="R25" s="13">
        <f t="shared" si="0"/>
        <v>0.99999999999999989</v>
      </c>
    </row>
    <row r="26" spans="1:18" x14ac:dyDescent="0.25">
      <c r="A26" s="3">
        <v>43161</v>
      </c>
      <c r="B26" t="s">
        <v>74</v>
      </c>
      <c r="C26" s="1">
        <v>-1500</v>
      </c>
      <c r="D26" s="1">
        <f t="shared" si="6"/>
        <v>6065.4300000000439</v>
      </c>
      <c r="E26" s="1">
        <f t="shared" si="7"/>
        <v>3723615.05</v>
      </c>
      <c r="F26" s="1">
        <f t="shared" si="8"/>
        <v>3729680.48</v>
      </c>
      <c r="G26" s="16">
        <f t="shared" si="9"/>
        <v>2337534.6333708558</v>
      </c>
      <c r="H26" s="19">
        <f t="shared" si="1"/>
        <v>0.62673857610742456</v>
      </c>
      <c r="I26" s="1">
        <f t="shared" si="10"/>
        <v>1044357.5661614107</v>
      </c>
      <c r="J26" s="19">
        <f t="shared" si="2"/>
        <v>0.28001261013152812</v>
      </c>
      <c r="K26" s="16">
        <f t="shared" si="11"/>
        <v>122.79664873100393</v>
      </c>
      <c r="L26" s="19">
        <f t="shared" si="3"/>
        <v>3.2924173904302903E-5</v>
      </c>
      <c r="M26" s="16">
        <f t="shared" si="12"/>
        <v>294875.47695815371</v>
      </c>
      <c r="N26" s="19">
        <f t="shared" si="4"/>
        <v>7.9061860269101045E-2</v>
      </c>
      <c r="O26" s="16">
        <f t="shared" si="13"/>
        <v>52790.006860848342</v>
      </c>
      <c r="P26" s="19">
        <f t="shared" si="5"/>
        <v>1.4154029318041834E-2</v>
      </c>
      <c r="Q26" s="16">
        <f t="shared" si="0"/>
        <v>3729680.48</v>
      </c>
      <c r="R26" s="13">
        <f t="shared" si="0"/>
        <v>0.99999999999999989</v>
      </c>
    </row>
    <row r="27" spans="1:18" s="6" customFormat="1" x14ac:dyDescent="0.25">
      <c r="A27" s="5">
        <v>43175</v>
      </c>
      <c r="B27" s="6" t="s">
        <v>88</v>
      </c>
      <c r="C27" s="4">
        <v>20771.88</v>
      </c>
      <c r="D27" s="4">
        <f t="shared" si="6"/>
        <v>26837.310000000045</v>
      </c>
      <c r="E27" s="4">
        <f t="shared" si="7"/>
        <v>3723615.05</v>
      </c>
      <c r="F27" s="4">
        <f t="shared" si="8"/>
        <v>3750452.36</v>
      </c>
      <c r="G27" s="17">
        <f t="shared" si="9"/>
        <v>2350553.1718651303</v>
      </c>
      <c r="H27" s="20">
        <f t="shared" si="1"/>
        <v>0.62673857610742467</v>
      </c>
      <c r="I27" s="4">
        <f t="shared" si="10"/>
        <v>1050173.9544975495</v>
      </c>
      <c r="J27" s="20">
        <f t="shared" si="2"/>
        <v>0.28001261013152812</v>
      </c>
      <c r="K27" s="17">
        <f t="shared" si="11"/>
        <v>123.48054572044323</v>
      </c>
      <c r="L27" s="20">
        <f t="shared" si="3"/>
        <v>3.2924173904302903E-5</v>
      </c>
      <c r="M27" s="17">
        <f t="shared" si="12"/>
        <v>296517.74043224024</v>
      </c>
      <c r="N27" s="20">
        <f t="shared" si="4"/>
        <v>7.9061860269101045E-2</v>
      </c>
      <c r="O27" s="17">
        <f t="shared" si="13"/>
        <v>53084.012659359185</v>
      </c>
      <c r="P27" s="20">
        <f t="shared" si="5"/>
        <v>1.4154029318041834E-2</v>
      </c>
      <c r="Q27" s="17">
        <f t="shared" si="0"/>
        <v>3750452.3599999994</v>
      </c>
      <c r="R27" s="14">
        <f t="shared" si="0"/>
        <v>1</v>
      </c>
    </row>
    <row r="28" spans="1:18" x14ac:dyDescent="0.25">
      <c r="A28" s="3">
        <v>43179</v>
      </c>
      <c r="B28" t="s">
        <v>64</v>
      </c>
      <c r="C28" s="1">
        <v>-2927.53</v>
      </c>
      <c r="D28" s="1">
        <f t="shared" si="6"/>
        <v>23909.780000000046</v>
      </c>
      <c r="E28" s="1">
        <f t="shared" si="7"/>
        <v>3723615.05</v>
      </c>
      <c r="F28" s="1">
        <f t="shared" si="8"/>
        <v>3747524.83</v>
      </c>
      <c r="G28" s="16">
        <f>G27</f>
        <v>2350553.1718651303</v>
      </c>
      <c r="H28" s="19">
        <f t="shared" si="1"/>
        <v>0.6272281781959882</v>
      </c>
      <c r="I28" s="1">
        <f>I27+C28</f>
        <v>1047246.4244975494</v>
      </c>
      <c r="J28" s="19">
        <f t="shared" si="2"/>
        <v>0.27945016297531761</v>
      </c>
      <c r="K28" s="16">
        <f>K27</f>
        <v>123.48054572044323</v>
      </c>
      <c r="L28" s="19">
        <f t="shared" si="3"/>
        <v>3.2949893949186519E-5</v>
      </c>
      <c r="M28" s="16">
        <f>M27</f>
        <v>296517.74043224024</v>
      </c>
      <c r="N28" s="19">
        <f t="shared" si="4"/>
        <v>7.9123622626468423E-2</v>
      </c>
      <c r="O28" s="16">
        <f>O27</f>
        <v>53084.012659359185</v>
      </c>
      <c r="P28" s="19">
        <f t="shared" si="5"/>
        <v>1.4165086308276491E-2</v>
      </c>
      <c r="Q28" s="16">
        <f t="shared" si="0"/>
        <v>3747524.8299999996</v>
      </c>
      <c r="R28" s="13">
        <f t="shared" si="0"/>
        <v>0.99999999999999989</v>
      </c>
    </row>
    <row r="29" spans="1:18" x14ac:dyDescent="0.25">
      <c r="A29" s="3">
        <v>43179</v>
      </c>
      <c r="B29" t="s">
        <v>73</v>
      </c>
      <c r="C29" s="1">
        <v>-1822.47</v>
      </c>
      <c r="D29" s="1">
        <f t="shared" si="6"/>
        <v>22087.310000000045</v>
      </c>
      <c r="E29" s="1">
        <f t="shared" si="7"/>
        <v>3723615.05</v>
      </c>
      <c r="F29" s="1">
        <f t="shared" si="8"/>
        <v>3745702.36</v>
      </c>
      <c r="G29" s="16">
        <f>G28</f>
        <v>2350553.1718651303</v>
      </c>
      <c r="H29" s="19">
        <f t="shared" si="1"/>
        <v>0.62753335581771386</v>
      </c>
      <c r="I29" s="1">
        <f>I28+C29</f>
        <v>1045423.9544975495</v>
      </c>
      <c r="J29" s="19">
        <f t="shared" si="2"/>
        <v>0.27909957973744326</v>
      </c>
      <c r="K29" s="16">
        <f>K28</f>
        <v>123.48054572044323</v>
      </c>
      <c r="L29" s="19">
        <f t="shared" si="3"/>
        <v>3.2965925707039689E-5</v>
      </c>
      <c r="M29" s="16">
        <f>M28</f>
        <v>296517.74043224024</v>
      </c>
      <c r="N29" s="19">
        <f t="shared" si="4"/>
        <v>7.9162120193725233E-2</v>
      </c>
      <c r="O29" s="16">
        <f>O28</f>
        <v>53084.012659359185</v>
      </c>
      <c r="P29" s="19">
        <f t="shared" si="5"/>
        <v>1.4171978325410561E-2</v>
      </c>
      <c r="Q29" s="16">
        <f t="shared" si="0"/>
        <v>3745702.3599999994</v>
      </c>
      <c r="R29" s="13">
        <f t="shared" si="0"/>
        <v>1</v>
      </c>
    </row>
    <row r="30" spans="1:18" x14ac:dyDescent="0.25">
      <c r="A30" s="3">
        <v>43179</v>
      </c>
      <c r="B30" t="s">
        <v>70</v>
      </c>
      <c r="C30" s="1">
        <v>-708.5</v>
      </c>
      <c r="D30" s="1">
        <f t="shared" si="6"/>
        <v>21378.810000000045</v>
      </c>
      <c r="E30" s="1">
        <f t="shared" si="7"/>
        <v>3723615.05</v>
      </c>
      <c r="F30" s="1">
        <f t="shared" si="8"/>
        <v>3744993.86</v>
      </c>
      <c r="G30" s="16">
        <f>G29+C30</f>
        <v>2349844.6718651303</v>
      </c>
      <c r="H30" s="19">
        <f t="shared" si="1"/>
        <v>0.62746289038378567</v>
      </c>
      <c r="I30" s="1">
        <f>I29</f>
        <v>1045423.9544975495</v>
      </c>
      <c r="J30" s="19">
        <f t="shared" si="2"/>
        <v>0.27915238144009918</v>
      </c>
      <c r="K30" s="16">
        <f>K29</f>
        <v>123.48054572044323</v>
      </c>
      <c r="L30" s="19">
        <f t="shared" si="3"/>
        <v>3.297216239506551E-5</v>
      </c>
      <c r="M30" s="16">
        <f>M29</f>
        <v>296517.74043224024</v>
      </c>
      <c r="N30" s="19">
        <f t="shared" si="4"/>
        <v>7.9177096549963438E-2</v>
      </c>
      <c r="O30" s="16">
        <f>O29</f>
        <v>53084.012659359185</v>
      </c>
      <c r="P30" s="19">
        <f t="shared" si="5"/>
        <v>1.4174659463756553E-2</v>
      </c>
      <c r="Q30" s="16">
        <f t="shared" si="0"/>
        <v>3744993.8599999994</v>
      </c>
      <c r="R30" s="13">
        <f t="shared" si="0"/>
        <v>0.99999999999999989</v>
      </c>
    </row>
    <row r="31" spans="1:18" x14ac:dyDescent="0.25">
      <c r="A31" s="3">
        <v>43179</v>
      </c>
      <c r="B31" t="s">
        <v>71</v>
      </c>
      <c r="C31" s="1">
        <v>-708.5</v>
      </c>
      <c r="D31" s="1">
        <f t="shared" si="6"/>
        <v>20670.310000000045</v>
      </c>
      <c r="E31" s="1">
        <f t="shared" si="7"/>
        <v>3723615.05</v>
      </c>
      <c r="F31" s="1">
        <f t="shared" si="8"/>
        <v>3744285.36</v>
      </c>
      <c r="G31" s="16">
        <f>G30+C31</f>
        <v>2349136.1718651303</v>
      </c>
      <c r="H31" s="19">
        <f t="shared" si="1"/>
        <v>0.62739239828268067</v>
      </c>
      <c r="I31" s="1">
        <f>I30</f>
        <v>1045423.9544975495</v>
      </c>
      <c r="J31" s="19">
        <f t="shared" si="2"/>
        <v>0.27920520312520986</v>
      </c>
      <c r="K31" s="16">
        <f>K30</f>
        <v>123.48054572044323</v>
      </c>
      <c r="L31" s="19">
        <f t="shared" si="3"/>
        <v>3.2978401443324616E-5</v>
      </c>
      <c r="M31" s="16">
        <f>M30</f>
        <v>296517.74043224024</v>
      </c>
      <c r="N31" s="19">
        <f t="shared" si="4"/>
        <v>7.9192078573904492E-2</v>
      </c>
      <c r="O31" s="16">
        <f>O30</f>
        <v>53084.012659359185</v>
      </c>
      <c r="P31" s="19">
        <f t="shared" si="5"/>
        <v>1.41773416167616E-2</v>
      </c>
      <c r="Q31" s="16">
        <f t="shared" si="0"/>
        <v>3744285.3599999994</v>
      </c>
      <c r="R31" s="13">
        <f t="shared" si="0"/>
        <v>1</v>
      </c>
    </row>
    <row r="32" spans="1:18" x14ac:dyDescent="0.25">
      <c r="A32" s="3">
        <v>43193</v>
      </c>
      <c r="B32" t="s">
        <v>74</v>
      </c>
      <c r="C32" s="1">
        <v>-1500</v>
      </c>
      <c r="D32" s="1">
        <f t="shared" si="6"/>
        <v>19170.310000000045</v>
      </c>
      <c r="E32" s="1">
        <f t="shared" si="7"/>
        <v>3723615.05</v>
      </c>
      <c r="F32" s="1">
        <f t="shared" si="8"/>
        <v>3742785.36</v>
      </c>
      <c r="G32" s="16">
        <f t="shared" si="9"/>
        <v>2348195.0832677064</v>
      </c>
      <c r="H32" s="19">
        <f t="shared" si="1"/>
        <v>0.62739239828268067</v>
      </c>
      <c r="I32" s="1">
        <f t="shared" si="10"/>
        <v>1045005.1466928617</v>
      </c>
      <c r="J32" s="19">
        <f t="shared" si="2"/>
        <v>0.27920520312520986</v>
      </c>
      <c r="K32" s="16">
        <f t="shared" si="11"/>
        <v>123.43107811827825</v>
      </c>
      <c r="L32" s="19">
        <f t="shared" si="3"/>
        <v>3.2978401443324622E-5</v>
      </c>
      <c r="M32" s="16">
        <f>M31+(N31*C32)</f>
        <v>296398.95231437939</v>
      </c>
      <c r="N32" s="19">
        <f t="shared" si="4"/>
        <v>7.9192078573904492E-2</v>
      </c>
      <c r="O32" s="16">
        <f t="shared" si="13"/>
        <v>53062.746646934043</v>
      </c>
      <c r="P32" s="19">
        <f t="shared" si="5"/>
        <v>1.41773416167616E-2</v>
      </c>
      <c r="Q32" s="16">
        <f t="shared" si="0"/>
        <v>3742785.3600000003</v>
      </c>
      <c r="R32" s="13">
        <f t="shared" si="0"/>
        <v>1</v>
      </c>
    </row>
    <row r="33" spans="1:18" x14ac:dyDescent="0.25">
      <c r="A33" s="3">
        <v>43202</v>
      </c>
      <c r="B33" t="s">
        <v>64</v>
      </c>
      <c r="C33" s="1">
        <v>-2944.6</v>
      </c>
      <c r="D33" s="1">
        <f t="shared" si="6"/>
        <v>16225.710000000045</v>
      </c>
      <c r="E33" s="1">
        <f t="shared" si="7"/>
        <v>3723615.05</v>
      </c>
      <c r="F33" s="1">
        <f t="shared" si="8"/>
        <v>3739840.76</v>
      </c>
      <c r="G33" s="16">
        <f>G32</f>
        <v>2348195.0832677064</v>
      </c>
      <c r="H33" s="19">
        <f t="shared" si="1"/>
        <v>0.62788638179014511</v>
      </c>
      <c r="I33" s="1">
        <f>I32+C33</f>
        <v>1042060.5466928617</v>
      </c>
      <c r="J33" s="19">
        <f t="shared" si="2"/>
        <v>0.27863767833068426</v>
      </c>
      <c r="K33" s="16">
        <f>K32</f>
        <v>123.43107811827825</v>
      </c>
      <c r="L33" s="19">
        <f t="shared" si="3"/>
        <v>3.3004367308483546E-5</v>
      </c>
      <c r="M33" s="16">
        <f>M32</f>
        <v>296398.95231437939</v>
      </c>
      <c r="N33" s="19">
        <f t="shared" si="4"/>
        <v>7.925443122727488E-2</v>
      </c>
      <c r="O33" s="16">
        <f>O32</f>
        <v>53062.746646934043</v>
      </c>
      <c r="P33" s="19">
        <f t="shared" si="5"/>
        <v>1.4188504284587252E-2</v>
      </c>
      <c r="Q33" s="16">
        <f t="shared" si="0"/>
        <v>3739840.76</v>
      </c>
      <c r="R33" s="13">
        <f t="shared" si="0"/>
        <v>1</v>
      </c>
    </row>
    <row r="34" spans="1:18" x14ac:dyDescent="0.25">
      <c r="A34" s="3">
        <v>43202</v>
      </c>
      <c r="B34" t="s">
        <v>73</v>
      </c>
      <c r="C34" s="1">
        <v>-1805.4</v>
      </c>
      <c r="D34" s="1">
        <f t="shared" si="6"/>
        <v>14420.310000000045</v>
      </c>
      <c r="E34" s="1">
        <f t="shared" si="7"/>
        <v>3723615.05</v>
      </c>
      <c r="F34" s="1">
        <f t="shared" si="8"/>
        <v>3738035.36</v>
      </c>
      <c r="G34" s="16">
        <f>G33</f>
        <v>2348195.0832677064</v>
      </c>
      <c r="H34" s="19">
        <f t="shared" si="1"/>
        <v>0.62818963897326707</v>
      </c>
      <c r="I34" s="1">
        <f>I33+C34</f>
        <v>1040255.1466928617</v>
      </c>
      <c r="J34" s="19">
        <f t="shared" si="2"/>
        <v>0.27828927404604908</v>
      </c>
      <c r="K34" s="16">
        <f>K33</f>
        <v>123.43107811827825</v>
      </c>
      <c r="L34" s="19">
        <f t="shared" si="3"/>
        <v>3.3020307790314285E-5</v>
      </c>
      <c r="M34" s="16">
        <f>M33</f>
        <v>296398.95231437939</v>
      </c>
      <c r="N34" s="19">
        <f t="shared" si="4"/>
        <v>7.9292709610531725E-2</v>
      </c>
      <c r="O34" s="16">
        <f>O33</f>
        <v>53062.746646934043</v>
      </c>
      <c r="P34" s="19">
        <f t="shared" si="5"/>
        <v>1.4195357062361776E-2</v>
      </c>
      <c r="Q34" s="16">
        <f t="shared" si="0"/>
        <v>3738035.3600000003</v>
      </c>
      <c r="R34" s="13">
        <f t="shared" si="0"/>
        <v>0.99999999999999989</v>
      </c>
    </row>
    <row r="35" spans="1:18" x14ac:dyDescent="0.25">
      <c r="A35" s="3">
        <v>43202</v>
      </c>
      <c r="B35" t="s">
        <v>70</v>
      </c>
      <c r="C35" s="1">
        <v>-708.5</v>
      </c>
      <c r="D35" s="1">
        <f t="shared" si="6"/>
        <v>13711.810000000045</v>
      </c>
      <c r="E35" s="1">
        <f t="shared" si="7"/>
        <v>3723615.05</v>
      </c>
      <c r="F35" s="1">
        <f t="shared" si="8"/>
        <v>3737326.86</v>
      </c>
      <c r="G35" s="16">
        <f>G34+C35</f>
        <v>2347486.5832677064</v>
      </c>
      <c r="H35" s="19">
        <f t="shared" si="1"/>
        <v>0.62811915339610047</v>
      </c>
      <c r="I35" s="1">
        <f>I34</f>
        <v>1040255.1466928617</v>
      </c>
      <c r="J35" s="19">
        <f t="shared" si="2"/>
        <v>0.2783420304567264</v>
      </c>
      <c r="K35" s="16">
        <f>K34</f>
        <v>123.43107811827825</v>
      </c>
      <c r="L35" s="19">
        <f t="shared" si="3"/>
        <v>3.3026567582124263E-5</v>
      </c>
      <c r="M35" s="16">
        <f>M34</f>
        <v>296398.95231437939</v>
      </c>
      <c r="N35" s="19">
        <f t="shared" si="4"/>
        <v>7.9307741446617647E-2</v>
      </c>
      <c r="O35" s="16">
        <f>O34</f>
        <v>53062.746646934043</v>
      </c>
      <c r="P35" s="19">
        <f t="shared" si="5"/>
        <v>1.4198048132973321E-2</v>
      </c>
      <c r="Q35" s="16">
        <f t="shared" si="0"/>
        <v>3737326.8600000003</v>
      </c>
      <c r="R35" s="13">
        <f t="shared" si="0"/>
        <v>1</v>
      </c>
    </row>
    <row r="36" spans="1:18" x14ac:dyDescent="0.25">
      <c r="A36" s="3">
        <v>43202</v>
      </c>
      <c r="B36" t="s">
        <v>71</v>
      </c>
      <c r="C36" s="1">
        <v>-708.5</v>
      </c>
      <c r="D36" s="1">
        <f t="shared" si="6"/>
        <v>13003.310000000045</v>
      </c>
      <c r="E36" s="1">
        <f t="shared" si="7"/>
        <v>3723615.05</v>
      </c>
      <c r="F36" s="1">
        <f t="shared" si="8"/>
        <v>3736618.36</v>
      </c>
      <c r="G36" s="16">
        <f>G35+C36</f>
        <v>2346778.0832677064</v>
      </c>
      <c r="H36" s="19">
        <f t="shared" si="1"/>
        <v>0.62804864108940106</v>
      </c>
      <c r="I36" s="1">
        <f>I35</f>
        <v>1040255.1466928617</v>
      </c>
      <c r="J36" s="19">
        <f t="shared" si="2"/>
        <v>0.27839480687368395</v>
      </c>
      <c r="K36" s="16">
        <f>K35</f>
        <v>123.43107811827825</v>
      </c>
      <c r="L36" s="19">
        <f t="shared" si="3"/>
        <v>3.3032829747771791E-5</v>
      </c>
      <c r="M36" s="16">
        <f>M35</f>
        <v>296398.95231437939</v>
      </c>
      <c r="N36" s="19">
        <f t="shared" si="4"/>
        <v>7.9322778983074799E-2</v>
      </c>
      <c r="O36" s="16">
        <f>O35</f>
        <v>53062.746646934043</v>
      </c>
      <c r="P36" s="19">
        <f t="shared" si="5"/>
        <v>1.4200740224092364E-2</v>
      </c>
      <c r="Q36" s="16">
        <f t="shared" ref="Q36:R50" si="17">G36+I36+K36+M36+O36</f>
        <v>3736618.3600000003</v>
      </c>
      <c r="R36" s="13">
        <f t="shared" si="17"/>
        <v>0.99999999999999989</v>
      </c>
    </row>
    <row r="37" spans="1:18" x14ac:dyDescent="0.25">
      <c r="A37" s="3">
        <v>43208</v>
      </c>
      <c r="B37" t="s">
        <v>75</v>
      </c>
      <c r="C37" s="1">
        <v>-528</v>
      </c>
      <c r="D37" s="1">
        <f t="shared" si="6"/>
        <v>12475.310000000045</v>
      </c>
      <c r="E37" s="1">
        <f t="shared" si="7"/>
        <v>3723615.05</v>
      </c>
      <c r="F37" s="1">
        <f t="shared" si="8"/>
        <v>3736090.36</v>
      </c>
      <c r="G37" s="16">
        <f t="shared" ref="G37:G50" si="18">G36+(H36*C37)</f>
        <v>2346446.4735852112</v>
      </c>
      <c r="H37" s="19">
        <f t="shared" si="1"/>
        <v>0.62804864108940106</v>
      </c>
      <c r="I37" s="1">
        <f t="shared" ref="I37:I50" si="19">I36+(J36*C37)</f>
        <v>1040108.1542348324</v>
      </c>
      <c r="J37" s="19">
        <f t="shared" si="2"/>
        <v>0.27839480687368395</v>
      </c>
      <c r="K37" s="16">
        <f t="shared" ref="K37:K50" si="20">K36+(L36*C37)</f>
        <v>123.41363678417143</v>
      </c>
      <c r="L37" s="19">
        <f t="shared" si="3"/>
        <v>3.3032829747771798E-5</v>
      </c>
      <c r="M37" s="16">
        <f t="shared" ref="M37:M50" si="21">M36+(N36*C37)</f>
        <v>296357.06988707633</v>
      </c>
      <c r="N37" s="19">
        <f t="shared" si="4"/>
        <v>7.9322778983074799E-2</v>
      </c>
      <c r="O37" s="16">
        <f t="shared" ref="O37:O50" si="22">O36+(P36*C37)</f>
        <v>53055.248656095726</v>
      </c>
      <c r="P37" s="19">
        <f t="shared" si="5"/>
        <v>1.4200740224092366E-2</v>
      </c>
      <c r="Q37" s="16">
        <f t="shared" si="17"/>
        <v>3736090.3600000003</v>
      </c>
      <c r="R37" s="13">
        <f t="shared" si="17"/>
        <v>0.99999999999999989</v>
      </c>
    </row>
    <row r="38" spans="1:18" x14ac:dyDescent="0.25">
      <c r="A38" s="3">
        <v>43221</v>
      </c>
      <c r="B38" t="s">
        <v>74</v>
      </c>
      <c r="C38" s="1">
        <v>-1500</v>
      </c>
      <c r="D38" s="1">
        <f t="shared" si="6"/>
        <v>10975.310000000045</v>
      </c>
      <c r="E38" s="1">
        <f t="shared" si="7"/>
        <v>3723615.05</v>
      </c>
      <c r="F38" s="1">
        <f t="shared" si="8"/>
        <v>3734590.36</v>
      </c>
      <c r="G38" s="16">
        <f t="shared" si="18"/>
        <v>2345504.4006235772</v>
      </c>
      <c r="H38" s="19">
        <f t="shared" si="1"/>
        <v>0.62804864108940106</v>
      </c>
      <c r="I38" s="1">
        <f t="shared" si="19"/>
        <v>1039690.5620245219</v>
      </c>
      <c r="J38" s="19">
        <f t="shared" si="2"/>
        <v>0.27839480687368395</v>
      </c>
      <c r="K38" s="16">
        <f t="shared" si="20"/>
        <v>123.36408753954977</v>
      </c>
      <c r="L38" s="19">
        <f t="shared" si="3"/>
        <v>3.3032829747771791E-5</v>
      </c>
      <c r="M38" s="16">
        <f t="shared" si="21"/>
        <v>296238.08571860171</v>
      </c>
      <c r="N38" s="19">
        <f t="shared" si="4"/>
        <v>7.9322778983074785E-2</v>
      </c>
      <c r="O38" s="16">
        <f t="shared" si="22"/>
        <v>53033.947545759591</v>
      </c>
      <c r="P38" s="19">
        <f t="shared" si="5"/>
        <v>1.4200740224092366E-2</v>
      </c>
      <c r="Q38" s="16">
        <f t="shared" si="17"/>
        <v>3734590.3600000003</v>
      </c>
      <c r="R38" s="13">
        <f t="shared" si="17"/>
        <v>0.99999999999999989</v>
      </c>
    </row>
    <row r="39" spans="1:18" x14ac:dyDescent="0.25">
      <c r="A39" s="3">
        <v>43231</v>
      </c>
      <c r="B39" t="s">
        <v>70</v>
      </c>
      <c r="C39" s="1">
        <v>-708.5</v>
      </c>
      <c r="D39" s="1">
        <f t="shared" si="6"/>
        <v>10266.810000000045</v>
      </c>
      <c r="E39" s="1">
        <f t="shared" si="7"/>
        <v>3723615.05</v>
      </c>
      <c r="F39" s="1">
        <f t="shared" si="8"/>
        <v>3733881.86</v>
      </c>
      <c r="G39" s="16">
        <f>G38+C39</f>
        <v>2344795.9006235772</v>
      </c>
      <c r="H39" s="19">
        <f t="shared" si="1"/>
        <v>0.62797806372577014</v>
      </c>
      <c r="I39" s="1">
        <f>I38</f>
        <v>1039690.5620245219</v>
      </c>
      <c r="J39" s="19">
        <f t="shared" si="2"/>
        <v>0.27844763198386835</v>
      </c>
      <c r="K39" s="16">
        <f>K38</f>
        <v>123.36408753954977</v>
      </c>
      <c r="L39" s="19">
        <f t="shared" si="3"/>
        <v>3.303909769109561E-5</v>
      </c>
      <c r="M39" s="16">
        <f>M38</f>
        <v>296238.08571860171</v>
      </c>
      <c r="N39" s="19">
        <f t="shared" si="4"/>
        <v>7.9337830393648751E-2</v>
      </c>
      <c r="O39" s="16">
        <f>O38</f>
        <v>53033.947545759591</v>
      </c>
      <c r="P39" s="19">
        <f t="shared" si="5"/>
        <v>1.4203434799021626E-2</v>
      </c>
      <c r="Q39" s="16">
        <f t="shared" si="17"/>
        <v>3733881.8600000003</v>
      </c>
      <c r="R39" s="13">
        <f t="shared" si="17"/>
        <v>1</v>
      </c>
    </row>
    <row r="40" spans="1:18" x14ac:dyDescent="0.25">
      <c r="A40" s="3">
        <v>43231</v>
      </c>
      <c r="B40" t="s">
        <v>71</v>
      </c>
      <c r="C40" s="1">
        <v>-708.5</v>
      </c>
      <c r="D40" s="1">
        <f t="shared" si="6"/>
        <v>9558.310000000045</v>
      </c>
      <c r="E40" s="1">
        <f t="shared" si="7"/>
        <v>3723615.05</v>
      </c>
      <c r="F40" s="1">
        <f t="shared" si="8"/>
        <v>3733173.36</v>
      </c>
      <c r="G40" s="16">
        <f>G39+C40</f>
        <v>2344087.4006235772</v>
      </c>
      <c r="H40" s="19">
        <f t="shared" si="1"/>
        <v>0.6279074595731009</v>
      </c>
      <c r="I40" s="1">
        <f>I39</f>
        <v>1039690.5620245219</v>
      </c>
      <c r="J40" s="19">
        <f t="shared" si="2"/>
        <v>0.27850047714487119</v>
      </c>
      <c r="K40" s="16">
        <f>K39</f>
        <v>123.36408753954977</v>
      </c>
      <c r="L40" s="19">
        <f t="shared" si="3"/>
        <v>3.3045368013541644E-5</v>
      </c>
      <c r="M40" s="16">
        <f>M39</f>
        <v>296238.08571860171</v>
      </c>
      <c r="N40" s="19">
        <f t="shared" si="4"/>
        <v>7.9352887517284143E-2</v>
      </c>
      <c r="O40" s="16">
        <f>O39</f>
        <v>53033.947545759591</v>
      </c>
      <c r="P40" s="19">
        <f t="shared" si="5"/>
        <v>1.4206130396730248E-2</v>
      </c>
      <c r="Q40" s="16">
        <f t="shared" si="17"/>
        <v>3733173.3600000003</v>
      </c>
      <c r="R40" s="13">
        <f t="shared" si="17"/>
        <v>1</v>
      </c>
    </row>
    <row r="41" spans="1:18" x14ac:dyDescent="0.25">
      <c r="A41" s="3">
        <v>43231</v>
      </c>
      <c r="B41" t="s">
        <v>64</v>
      </c>
      <c r="C41" s="1">
        <v>-2944.2</v>
      </c>
      <c r="D41" s="1">
        <f t="shared" si="6"/>
        <v>6614.1100000000451</v>
      </c>
      <c r="E41" s="1">
        <f t="shared" si="7"/>
        <v>3723615.05</v>
      </c>
      <c r="F41" s="1">
        <f t="shared" si="8"/>
        <v>3730229.1599999997</v>
      </c>
      <c r="G41" s="16">
        <f>G40</f>
        <v>2344087.4006235772</v>
      </c>
      <c r="H41" s="19">
        <f t="shared" si="1"/>
        <v>0.62840305516875472</v>
      </c>
      <c r="I41" s="1">
        <f>I40+C41</f>
        <v>1036746.3620245219</v>
      </c>
      <c r="J41" s="19">
        <f t="shared" si="2"/>
        <v>0.27793101108686902</v>
      </c>
      <c r="K41" s="16">
        <f>K40</f>
        <v>123.36408753954977</v>
      </c>
      <c r="L41" s="19">
        <f t="shared" si="3"/>
        <v>3.3071450103497065E-5</v>
      </c>
      <c r="M41" s="16">
        <f>M40</f>
        <v>296238.08571860171</v>
      </c>
      <c r="N41" s="19">
        <f t="shared" si="4"/>
        <v>7.9415519264934842E-2</v>
      </c>
      <c r="O41" s="16">
        <f>O40</f>
        <v>53033.947545759591</v>
      </c>
      <c r="P41" s="19">
        <f t="shared" si="5"/>
        <v>1.4217343029338067E-2</v>
      </c>
      <c r="Q41" s="16">
        <f t="shared" si="17"/>
        <v>3730229.16</v>
      </c>
      <c r="R41" s="13">
        <f t="shared" si="17"/>
        <v>1</v>
      </c>
    </row>
    <row r="42" spans="1:18" x14ac:dyDescent="0.25">
      <c r="A42" s="3">
        <v>43231</v>
      </c>
      <c r="B42" t="s">
        <v>73</v>
      </c>
      <c r="C42" s="1">
        <v>-1805.8</v>
      </c>
      <c r="D42" s="1">
        <f t="shared" si="6"/>
        <v>4808.310000000045</v>
      </c>
      <c r="E42" s="1">
        <f t="shared" si="7"/>
        <v>3723615.05</v>
      </c>
      <c r="F42" s="1">
        <f t="shared" si="8"/>
        <v>3728423.36</v>
      </c>
      <c r="G42" s="16">
        <f>G41</f>
        <v>2344087.4006235772</v>
      </c>
      <c r="H42" s="19">
        <f t="shared" si="1"/>
        <v>0.62870741176334044</v>
      </c>
      <c r="I42" s="1">
        <f>I41+C42</f>
        <v>1034940.5620245219</v>
      </c>
      <c r="J42" s="19">
        <f t="shared" si="2"/>
        <v>0.27758128895118872</v>
      </c>
      <c r="K42" s="16">
        <f>K41</f>
        <v>123.36408753954977</v>
      </c>
      <c r="L42" s="19">
        <f t="shared" si="3"/>
        <v>3.3087467711700468E-5</v>
      </c>
      <c r="M42" s="16">
        <f>M41</f>
        <v>296238.08571860171</v>
      </c>
      <c r="N42" s="19">
        <f t="shared" si="4"/>
        <v>7.9453982854190072E-2</v>
      </c>
      <c r="O42" s="16">
        <f>O41</f>
        <v>53033.947545759591</v>
      </c>
      <c r="P42" s="19">
        <f t="shared" si="5"/>
        <v>1.4224228963569093E-2</v>
      </c>
      <c r="Q42" s="16">
        <f t="shared" si="17"/>
        <v>3728423.3600000003</v>
      </c>
      <c r="R42" s="13">
        <f t="shared" si="17"/>
        <v>1</v>
      </c>
    </row>
    <row r="43" spans="1:18" x14ac:dyDescent="0.25">
      <c r="A43" s="3">
        <v>43244</v>
      </c>
      <c r="B43" t="s">
        <v>76</v>
      </c>
      <c r="C43" s="1">
        <v>-195</v>
      </c>
      <c r="D43" s="1">
        <f t="shared" si="6"/>
        <v>4613.310000000045</v>
      </c>
      <c r="E43" s="1">
        <f t="shared" si="7"/>
        <v>3723615.05</v>
      </c>
      <c r="F43" s="1">
        <f t="shared" si="8"/>
        <v>3728228.36</v>
      </c>
      <c r="G43" s="16">
        <f t="shared" si="18"/>
        <v>2343964.8026782833</v>
      </c>
      <c r="H43" s="19">
        <f t="shared" si="1"/>
        <v>0.62870741176334044</v>
      </c>
      <c r="I43" s="1">
        <f t="shared" si="19"/>
        <v>1034886.4336731764</v>
      </c>
      <c r="J43" s="19">
        <f t="shared" si="2"/>
        <v>0.27758128895118872</v>
      </c>
      <c r="K43" s="16">
        <f t="shared" si="20"/>
        <v>123.35763548334599</v>
      </c>
      <c r="L43" s="19">
        <f t="shared" si="3"/>
        <v>3.3087467711700468E-5</v>
      </c>
      <c r="M43" s="16">
        <f t="shared" si="21"/>
        <v>296222.59219194512</v>
      </c>
      <c r="N43" s="19">
        <f t="shared" si="4"/>
        <v>7.9453982854190058E-2</v>
      </c>
      <c r="O43" s="16">
        <f t="shared" si="22"/>
        <v>53031.173821111697</v>
      </c>
      <c r="P43" s="19">
        <f t="shared" si="5"/>
        <v>1.4224228963569093E-2</v>
      </c>
      <c r="Q43" s="16">
        <f t="shared" si="17"/>
        <v>3728228.36</v>
      </c>
      <c r="R43" s="13">
        <f t="shared" si="17"/>
        <v>1</v>
      </c>
    </row>
    <row r="44" spans="1:18" x14ac:dyDescent="0.25">
      <c r="A44" s="3">
        <v>43245</v>
      </c>
      <c r="B44" t="s">
        <v>77</v>
      </c>
      <c r="C44" s="1">
        <v>20771.88</v>
      </c>
      <c r="D44" s="1">
        <f t="shared" si="6"/>
        <v>25385.190000000046</v>
      </c>
      <c r="E44" s="1">
        <f t="shared" si="7"/>
        <v>3723615.05</v>
      </c>
      <c r="F44" s="1">
        <f t="shared" si="8"/>
        <v>3749000.2399999998</v>
      </c>
      <c r="G44" s="16">
        <f t="shared" si="18"/>
        <v>2357024.2375905421</v>
      </c>
      <c r="H44" s="19">
        <f t="shared" si="1"/>
        <v>0.62870741176334044</v>
      </c>
      <c r="I44" s="1">
        <f t="shared" si="19"/>
        <v>1040652.3188975159</v>
      </c>
      <c r="J44" s="19">
        <f t="shared" si="2"/>
        <v>0.27758128895118872</v>
      </c>
      <c r="K44" s="16">
        <f t="shared" si="20"/>
        <v>124.0449243921573</v>
      </c>
      <c r="L44" s="19">
        <f t="shared" si="3"/>
        <v>3.3087467711700468E-5</v>
      </c>
      <c r="M44" s="16">
        <f t="shared" si="21"/>
        <v>297873.00078931439</v>
      </c>
      <c r="N44" s="19">
        <f t="shared" si="4"/>
        <v>7.9453982854190058E-2</v>
      </c>
      <c r="O44" s="16">
        <f t="shared" si="22"/>
        <v>53326.637798235475</v>
      </c>
      <c r="P44" s="19">
        <f t="shared" si="5"/>
        <v>1.4224228963569093E-2</v>
      </c>
      <c r="Q44" s="16">
        <f t="shared" si="17"/>
        <v>3749000.24</v>
      </c>
      <c r="R44" s="13">
        <f t="shared" si="17"/>
        <v>1</v>
      </c>
    </row>
    <row r="45" spans="1:18" x14ac:dyDescent="0.25">
      <c r="A45" s="3">
        <v>43252</v>
      </c>
      <c r="B45" t="s">
        <v>74</v>
      </c>
      <c r="C45" s="1">
        <v>-1500</v>
      </c>
      <c r="D45" s="1">
        <f t="shared" si="6"/>
        <v>23885.190000000046</v>
      </c>
      <c r="E45" s="1">
        <f t="shared" si="7"/>
        <v>3723615.05</v>
      </c>
      <c r="F45" s="1">
        <f t="shared" si="8"/>
        <v>3747500.2399999998</v>
      </c>
      <c r="G45" s="16">
        <f t="shared" si="18"/>
        <v>2356081.1764728972</v>
      </c>
      <c r="H45" s="19">
        <f t="shared" si="1"/>
        <v>0.62870741176334044</v>
      </c>
      <c r="I45" s="1">
        <f t="shared" si="19"/>
        <v>1040235.9469640891</v>
      </c>
      <c r="J45" s="19">
        <f t="shared" si="2"/>
        <v>0.27758128895118872</v>
      </c>
      <c r="K45" s="16">
        <f t="shared" si="20"/>
        <v>123.99529319058975</v>
      </c>
      <c r="L45" s="19">
        <f t="shared" si="3"/>
        <v>3.3087467711700468E-5</v>
      </c>
      <c r="M45" s="16">
        <f t="shared" si="21"/>
        <v>297753.81981503312</v>
      </c>
      <c r="N45" s="19">
        <f t="shared" si="4"/>
        <v>7.9453982854190058E-2</v>
      </c>
      <c r="O45" s="16">
        <f t="shared" si="22"/>
        <v>53305.301454790118</v>
      </c>
      <c r="P45" s="19">
        <f t="shared" si="5"/>
        <v>1.4224228963569091E-2</v>
      </c>
      <c r="Q45" s="16">
        <f t="shared" si="17"/>
        <v>3747500.24</v>
      </c>
      <c r="R45" s="13">
        <f t="shared" si="17"/>
        <v>1</v>
      </c>
    </row>
    <row r="46" spans="1:18" x14ac:dyDescent="0.25">
      <c r="A46" s="3">
        <v>43262</v>
      </c>
      <c r="B46" t="s">
        <v>64</v>
      </c>
      <c r="C46" s="1">
        <v>-2944.6</v>
      </c>
      <c r="D46" s="1">
        <f t="shared" si="6"/>
        <v>20940.590000000047</v>
      </c>
      <c r="E46" s="1">
        <f t="shared" si="7"/>
        <v>3723615.05</v>
      </c>
      <c r="F46" s="1">
        <f t="shared" si="8"/>
        <v>3744555.6399999997</v>
      </c>
      <c r="G46" s="16">
        <f>G45</f>
        <v>2356081.1764728972</v>
      </c>
      <c r="H46" s="19">
        <f t="shared" si="1"/>
        <v>0.62920180736662723</v>
      </c>
      <c r="I46" s="1">
        <f>I45+C46</f>
        <v>1037291.3469640891</v>
      </c>
      <c r="J46" s="19">
        <f t="shared" si="2"/>
        <v>0.27701320174911037</v>
      </c>
      <c r="K46" s="16">
        <f>K45</f>
        <v>123.99529319058975</v>
      </c>
      <c r="L46" s="19">
        <f t="shared" si="3"/>
        <v>3.3113486648736181E-5</v>
      </c>
      <c r="M46" s="16">
        <f>M45</f>
        <v>297753.81981503312</v>
      </c>
      <c r="N46" s="19">
        <f t="shared" si="4"/>
        <v>7.9516462950736957E-2</v>
      </c>
      <c r="O46" s="16">
        <f>O45</f>
        <v>53305.301454790118</v>
      </c>
      <c r="P46" s="19">
        <f t="shared" si="5"/>
        <v>1.4235414446876832E-2</v>
      </c>
      <c r="Q46" s="16">
        <f t="shared" si="17"/>
        <v>3744555.64</v>
      </c>
      <c r="R46" s="13">
        <f t="shared" si="17"/>
        <v>1.0000000000000002</v>
      </c>
    </row>
    <row r="47" spans="1:18" x14ac:dyDescent="0.25">
      <c r="A47" s="3">
        <v>43262</v>
      </c>
      <c r="B47" t="s">
        <v>73</v>
      </c>
      <c r="C47" s="1">
        <v>-1805.4</v>
      </c>
      <c r="D47" s="1">
        <f t="shared" si="6"/>
        <v>19135.190000000046</v>
      </c>
      <c r="E47" s="1">
        <f t="shared" si="7"/>
        <v>3723615.05</v>
      </c>
      <c r="F47" s="1">
        <f t="shared" si="8"/>
        <v>3742750.2399999998</v>
      </c>
      <c r="G47" s="16">
        <f>G46</f>
        <v>2356081.1764728972</v>
      </c>
      <c r="H47" s="19">
        <f t="shared" si="1"/>
        <v>0.62950531705073043</v>
      </c>
      <c r="I47" s="1">
        <f>I46+C47</f>
        <v>1035485.9469640891</v>
      </c>
      <c r="J47" s="19">
        <f t="shared" si="2"/>
        <v>0.27666445275923329</v>
      </c>
      <c r="K47" s="16">
        <f>K46</f>
        <v>123.99529319058975</v>
      </c>
      <c r="L47" s="19">
        <f t="shared" si="3"/>
        <v>3.3129459685931316E-5</v>
      </c>
      <c r="M47" s="16">
        <f>M46</f>
        <v>297753.81981503312</v>
      </c>
      <c r="N47" s="19">
        <f t="shared" si="4"/>
        <v>7.9554819510220143E-2</v>
      </c>
      <c r="O47" s="16">
        <f>O46</f>
        <v>53305.301454790118</v>
      </c>
      <c r="P47" s="19">
        <f t="shared" si="5"/>
        <v>1.4242281220130286E-2</v>
      </c>
      <c r="Q47" s="16">
        <f t="shared" si="17"/>
        <v>3742750.24</v>
      </c>
      <c r="R47" s="13">
        <f t="shared" si="17"/>
        <v>1.0000000000000002</v>
      </c>
    </row>
    <row r="48" spans="1:18" x14ac:dyDescent="0.25">
      <c r="A48" s="3">
        <v>43262</v>
      </c>
      <c r="B48" t="s">
        <v>70</v>
      </c>
      <c r="C48" s="1">
        <v>-708.5</v>
      </c>
      <c r="D48" s="1">
        <f t="shared" si="6"/>
        <v>18426.690000000046</v>
      </c>
      <c r="E48" s="1">
        <f t="shared" si="7"/>
        <v>3723615.05</v>
      </c>
      <c r="F48" s="1">
        <f t="shared" si="8"/>
        <v>3742041.7399999998</v>
      </c>
      <c r="G48" s="16">
        <f>G47+C48</f>
        <v>2355372.6764728972</v>
      </c>
      <c r="H48" s="19">
        <f t="shared" si="1"/>
        <v>0.62943516938774102</v>
      </c>
      <c r="I48" s="1">
        <f>I47</f>
        <v>1035485.9469640891</v>
      </c>
      <c r="J48" s="19">
        <f t="shared" si="2"/>
        <v>0.27671683506237138</v>
      </c>
      <c r="K48" s="16">
        <f>K47</f>
        <v>123.99529319058975</v>
      </c>
      <c r="L48" s="19">
        <f t="shared" si="3"/>
        <v>3.313573225684804E-5</v>
      </c>
      <c r="M48" s="16">
        <f>M47</f>
        <v>297753.81981503312</v>
      </c>
      <c r="N48" s="19">
        <f t="shared" si="4"/>
        <v>7.9569882033179329E-2</v>
      </c>
      <c r="O48" s="16">
        <f>O47</f>
        <v>53305.301454790118</v>
      </c>
      <c r="P48" s="19">
        <f t="shared" si="5"/>
        <v>1.424497778445147E-2</v>
      </c>
      <c r="Q48" s="16">
        <f t="shared" si="17"/>
        <v>3742041.74</v>
      </c>
      <c r="R48" s="13">
        <f t="shared" si="17"/>
        <v>0.99999999999999989</v>
      </c>
    </row>
    <row r="49" spans="1:18" x14ac:dyDescent="0.25">
      <c r="A49" s="3">
        <v>43262</v>
      </c>
      <c r="B49" t="s">
        <v>71</v>
      </c>
      <c r="C49" s="1">
        <v>-708.5</v>
      </c>
      <c r="D49" s="1">
        <f t="shared" si="6"/>
        <v>17718.190000000046</v>
      </c>
      <c r="E49" s="1">
        <f t="shared" si="7"/>
        <v>3723615.05</v>
      </c>
      <c r="F49" s="1">
        <f t="shared" si="8"/>
        <v>3741333.2399999998</v>
      </c>
      <c r="G49" s="16">
        <f>G48+C49</f>
        <v>2354664.1764728972</v>
      </c>
      <c r="H49" s="19">
        <f t="shared" si="1"/>
        <v>0.62936499515688615</v>
      </c>
      <c r="I49" s="1">
        <f>I48</f>
        <v>1035485.9469640891</v>
      </c>
      <c r="J49" s="19">
        <f t="shared" si="2"/>
        <v>0.27676923720488716</v>
      </c>
      <c r="K49" s="16">
        <f>K48</f>
        <v>123.99529319058975</v>
      </c>
      <c r="L49" s="19">
        <f t="shared" si="3"/>
        <v>3.3142007203450756E-5</v>
      </c>
      <c r="M49" s="16">
        <f>M48</f>
        <v>297753.81981503312</v>
      </c>
      <c r="N49" s="19">
        <f t="shared" si="4"/>
        <v>7.9584950260948459E-2</v>
      </c>
      <c r="O49" s="16">
        <f>O48</f>
        <v>53305.301454790118</v>
      </c>
      <c r="P49" s="19">
        <f t="shared" si="5"/>
        <v>1.4247675370074792E-2</v>
      </c>
      <c r="Q49" s="16">
        <f t="shared" si="17"/>
        <v>3741333.24</v>
      </c>
      <c r="R49" s="13">
        <f t="shared" si="17"/>
        <v>1.0000000000000002</v>
      </c>
    </row>
    <row r="50" spans="1:18" x14ac:dyDescent="0.25">
      <c r="A50" s="3">
        <v>43285</v>
      </c>
      <c r="B50" t="s">
        <v>74</v>
      </c>
      <c r="C50" s="1">
        <v>-1500</v>
      </c>
      <c r="D50" s="1">
        <f t="shared" si="6"/>
        <v>16218.190000000046</v>
      </c>
      <c r="E50" s="1">
        <f t="shared" si="7"/>
        <v>3723615.05</v>
      </c>
      <c r="F50" s="1">
        <f t="shared" si="8"/>
        <v>3739833.2399999998</v>
      </c>
      <c r="G50" s="16">
        <f t="shared" si="18"/>
        <v>2353720.1289801616</v>
      </c>
      <c r="H50" s="19">
        <f t="shared" si="1"/>
        <v>0.62936499515688615</v>
      </c>
      <c r="I50" s="1">
        <f t="shared" si="19"/>
        <v>1035070.7931082817</v>
      </c>
      <c r="J50" s="19">
        <f t="shared" si="2"/>
        <v>0.27676923720488716</v>
      </c>
      <c r="K50" s="16">
        <f t="shared" si="20"/>
        <v>123.94558017978457</v>
      </c>
      <c r="L50" s="19">
        <f t="shared" si="3"/>
        <v>3.3142007203450756E-5</v>
      </c>
      <c r="M50" s="16">
        <f t="shared" si="21"/>
        <v>297634.44238964171</v>
      </c>
      <c r="N50" s="19">
        <f t="shared" si="4"/>
        <v>7.9584950260948459E-2</v>
      </c>
      <c r="O50" s="16">
        <f t="shared" si="22"/>
        <v>53283.929941735005</v>
      </c>
      <c r="P50" s="19">
        <f t="shared" si="5"/>
        <v>1.4247675370074792E-2</v>
      </c>
      <c r="Q50" s="16">
        <f t="shared" si="17"/>
        <v>3739833.24</v>
      </c>
      <c r="R50" s="13">
        <f t="shared" si="17"/>
        <v>1.0000000000000002</v>
      </c>
    </row>
    <row r="51" spans="1:18" x14ac:dyDescent="0.25">
      <c r="A51" t="s">
        <v>79</v>
      </c>
    </row>
    <row r="52" spans="1:18" s="8" customFormat="1" x14ac:dyDescent="0.25">
      <c r="B52" s="8" t="s">
        <v>80</v>
      </c>
      <c r="C52" s="9">
        <v>254817.76</v>
      </c>
      <c r="D52" s="9"/>
      <c r="E52" s="9"/>
      <c r="F52" s="9"/>
      <c r="G52" s="18"/>
      <c r="H52" s="21"/>
      <c r="I52" s="9"/>
      <c r="J52" s="21"/>
      <c r="K52" s="18"/>
      <c r="L52" s="21"/>
      <c r="M52" s="18"/>
      <c r="N52" s="21"/>
      <c r="O52" s="18"/>
      <c r="P52" s="21"/>
      <c r="Q52" s="18"/>
      <c r="R52" s="15"/>
    </row>
    <row r="53" spans="1:18" x14ac:dyDescent="0.25">
      <c r="B53" t="s">
        <v>81</v>
      </c>
      <c r="C53" s="1">
        <v>568809.43000000005</v>
      </c>
    </row>
    <row r="54" spans="1:18" x14ac:dyDescent="0.25">
      <c r="B54" t="s">
        <v>82</v>
      </c>
      <c r="C54" s="1">
        <v>2700000</v>
      </c>
    </row>
    <row r="55" spans="1:18" x14ac:dyDescent="0.25">
      <c r="B55" s="6" t="s">
        <v>83</v>
      </c>
      <c r="C55" s="4">
        <v>276561.87</v>
      </c>
      <c r="D55" s="4" t="s">
        <v>87</v>
      </c>
      <c r="E55" s="4"/>
      <c r="F55" s="4"/>
      <c r="G55" s="17"/>
      <c r="H55" s="20"/>
      <c r="I55" s="4"/>
      <c r="J55" s="20"/>
    </row>
    <row r="56" spans="1:18" x14ac:dyDescent="0.25">
      <c r="B56" t="s">
        <v>85</v>
      </c>
      <c r="C56" s="1">
        <f>SUM(C52:C55)</f>
        <v>3800189.06</v>
      </c>
    </row>
    <row r="57" spans="1:18" x14ac:dyDescent="0.25">
      <c r="B57" t="s">
        <v>84</v>
      </c>
      <c r="C57" s="1">
        <v>16218.19</v>
      </c>
    </row>
    <row r="58" spans="1:18" x14ac:dyDescent="0.25">
      <c r="B58" t="s">
        <v>86</v>
      </c>
      <c r="C58" s="1">
        <f>C56+C57</f>
        <v>3816407.25</v>
      </c>
    </row>
    <row r="59" spans="1:18" x14ac:dyDescent="0.25">
      <c r="A59" s="3">
        <v>43286</v>
      </c>
      <c r="B59" t="s">
        <v>78</v>
      </c>
      <c r="C59" s="1">
        <v>0</v>
      </c>
      <c r="D59" s="1">
        <v>16218.19</v>
      </c>
      <c r="E59" s="1">
        <f>C56</f>
        <v>3800189.06</v>
      </c>
      <c r="F59" s="1">
        <f t="shared" ref="F59:F84" si="23">D59+E59</f>
        <v>3816407.25</v>
      </c>
      <c r="G59" s="16">
        <f>F59*H50</f>
        <v>2401913.1304129553</v>
      </c>
      <c r="H59" s="19">
        <f t="shared" ref="H59:H64" si="24">G59/F59</f>
        <v>0.62936499515688615</v>
      </c>
      <c r="I59" s="1">
        <f>F59*J50</f>
        <v>1056264.1234457011</v>
      </c>
      <c r="J59" s="19">
        <f t="shared" ref="J59:J64" si="25">I59/F59</f>
        <v>0.27676923720488716</v>
      </c>
      <c r="K59" s="16">
        <f>F59*L50</f>
        <v>126.48339657080169</v>
      </c>
      <c r="L59" s="19">
        <f t="shared" ref="L59:L64" si="26">K59/F59</f>
        <v>3.3142007203450756E-5</v>
      </c>
      <c r="M59" s="16">
        <f>F59*N50</f>
        <v>303728.5811667731</v>
      </c>
      <c r="N59" s="19">
        <f t="shared" ref="N59:N64" si="27">M59/F59</f>
        <v>7.9584950260948459E-2</v>
      </c>
      <c r="O59" s="16">
        <f>F59*P50</f>
        <v>54374.931577999865</v>
      </c>
      <c r="P59" s="19">
        <f t="shared" ref="P59:P64" si="28">O59/F59</f>
        <v>1.4247675370074792E-2</v>
      </c>
      <c r="Q59" s="16">
        <f t="shared" ref="Q59:R64" si="29">G59+I59+K59+M59+O59</f>
        <v>3816407.2500000005</v>
      </c>
      <c r="R59" s="13">
        <f t="shared" si="29"/>
        <v>1.0000000000000002</v>
      </c>
    </row>
    <row r="60" spans="1:18" x14ac:dyDescent="0.25">
      <c r="A60" s="3">
        <v>43292</v>
      </c>
      <c r="B60" t="s">
        <v>90</v>
      </c>
      <c r="C60" s="11">
        <v>-2944.2</v>
      </c>
      <c r="D60" s="11">
        <v>13273.99</v>
      </c>
      <c r="E60" s="1">
        <f>C56</f>
        <v>3800189.06</v>
      </c>
      <c r="F60" s="1">
        <f>D60+E60</f>
        <v>3813463.0500000003</v>
      </c>
      <c r="G60" s="16">
        <f>G59</f>
        <v>2401913.1304129553</v>
      </c>
      <c r="H60" s="19">
        <f t="shared" si="24"/>
        <v>0.62985089901761471</v>
      </c>
      <c r="I60" s="1">
        <f>I59+C60</f>
        <v>1053319.9234457011</v>
      </c>
      <c r="J60" s="19">
        <f t="shared" si="25"/>
        <v>0.27621086388806126</v>
      </c>
      <c r="K60" s="16">
        <f>K59</f>
        <v>126.48339657080169</v>
      </c>
      <c r="L60" s="19">
        <f t="shared" si="26"/>
        <v>3.3167594627880737E-5</v>
      </c>
      <c r="M60" s="16">
        <f>M59</f>
        <v>303728.5811667731</v>
      </c>
      <c r="N60" s="19">
        <f t="shared" si="27"/>
        <v>7.9646394152625422E-2</v>
      </c>
      <c r="O60" s="16">
        <f>O59</f>
        <v>54374.931577999865</v>
      </c>
      <c r="P60" s="19">
        <f t="shared" si="28"/>
        <v>1.4258675347070654E-2</v>
      </c>
      <c r="Q60" s="16">
        <f t="shared" si="29"/>
        <v>3813463.0500000003</v>
      </c>
      <c r="R60" s="13">
        <f t="shared" si="29"/>
        <v>1</v>
      </c>
    </row>
    <row r="61" spans="1:18" x14ac:dyDescent="0.25">
      <c r="A61" s="3">
        <v>43292</v>
      </c>
      <c r="B61" t="s">
        <v>91</v>
      </c>
      <c r="C61">
        <v>-708.5</v>
      </c>
      <c r="D61" s="11">
        <v>12565.49</v>
      </c>
      <c r="E61" s="1">
        <f>C56</f>
        <v>3800189.06</v>
      </c>
      <c r="F61" s="1">
        <f t="shared" si="23"/>
        <v>3812754.5500000003</v>
      </c>
      <c r="G61" s="16">
        <f>G60+C61</f>
        <v>2401204.6304129553</v>
      </c>
      <c r="H61" s="19">
        <f t="shared" si="24"/>
        <v>0.62978211655742566</v>
      </c>
      <c r="I61">
        <f>I60</f>
        <v>1053319.9234457011</v>
      </c>
      <c r="J61" s="19">
        <f t="shared" si="25"/>
        <v>0.27626219040134675</v>
      </c>
      <c r="K61" s="16">
        <f>K60</f>
        <v>126.48339657080169</v>
      </c>
      <c r="L61" s="19">
        <f t="shared" si="26"/>
        <v>3.317375795166297E-5</v>
      </c>
      <c r="M61" s="16">
        <f>M60</f>
        <v>303728.5811667731</v>
      </c>
      <c r="N61" s="19">
        <f t="shared" si="27"/>
        <v>7.966119433698482E-2</v>
      </c>
      <c r="O61" s="16">
        <f>O60</f>
        <v>54374.931577999865</v>
      </c>
      <c r="P61" s="19">
        <f t="shared" si="28"/>
        <v>1.4261324946291091E-2</v>
      </c>
      <c r="Q61" s="16">
        <f t="shared" si="29"/>
        <v>3812754.5500000003</v>
      </c>
      <c r="R61" s="13">
        <f t="shared" si="29"/>
        <v>1</v>
      </c>
    </row>
    <row r="62" spans="1:18" x14ac:dyDescent="0.25">
      <c r="A62" s="3">
        <v>43292</v>
      </c>
      <c r="B62" t="s">
        <v>92</v>
      </c>
      <c r="C62" s="11">
        <v>-1805.8</v>
      </c>
      <c r="D62" s="11">
        <v>10759.69</v>
      </c>
      <c r="E62" s="1">
        <f>C56</f>
        <v>3800189.06</v>
      </c>
      <c r="F62" s="1">
        <f t="shared" si="23"/>
        <v>3810948.75</v>
      </c>
      <c r="G62" s="16">
        <f>G61</f>
        <v>2401204.6304129553</v>
      </c>
      <c r="H62" s="19">
        <f t="shared" si="24"/>
        <v>0.63008053582797596</v>
      </c>
      <c r="I62">
        <f>I61+C62</f>
        <v>1051514.1234457011</v>
      </c>
      <c r="J62" s="19">
        <f t="shared" si="25"/>
        <v>0.27591925067103068</v>
      </c>
      <c r="K62" s="16">
        <f>K61</f>
        <v>126.48339657080169</v>
      </c>
      <c r="L62" s="19">
        <f t="shared" si="26"/>
        <v>3.3189477179613528E-5</v>
      </c>
      <c r="M62" s="16">
        <f>M61</f>
        <v>303728.5811667731</v>
      </c>
      <c r="N62" s="19">
        <f t="shared" si="27"/>
        <v>7.9698941416300365E-2</v>
      </c>
      <c r="O62" s="16">
        <f>O61</f>
        <v>54374.931577999865</v>
      </c>
      <c r="P62" s="19">
        <f t="shared" si="28"/>
        <v>1.4268082607513383E-2</v>
      </c>
      <c r="Q62" s="16">
        <f t="shared" si="29"/>
        <v>3810948.7500000005</v>
      </c>
      <c r="R62" s="13">
        <f t="shared" si="29"/>
        <v>0.99999999999999989</v>
      </c>
    </row>
    <row r="63" spans="1:18" x14ac:dyDescent="0.25">
      <c r="A63" s="3">
        <v>43292</v>
      </c>
      <c r="B63" t="s">
        <v>93</v>
      </c>
      <c r="C63">
        <v>-708.5</v>
      </c>
      <c r="D63" s="11">
        <v>10051.19</v>
      </c>
      <c r="E63" s="1">
        <f>C56</f>
        <v>3800189.06</v>
      </c>
      <c r="F63" s="1">
        <f t="shared" si="23"/>
        <v>3810240.25</v>
      </c>
      <c r="G63" s="16">
        <f>G62+C63</f>
        <v>2400496.1304129553</v>
      </c>
      <c r="H63" s="19">
        <f t="shared" si="24"/>
        <v>0.63001175067975179</v>
      </c>
      <c r="I63">
        <f>I62</f>
        <v>1051514.1234457011</v>
      </c>
      <c r="J63" s="19">
        <f t="shared" si="25"/>
        <v>0.27597055682924487</v>
      </c>
      <c r="K63" s="16">
        <f>K62</f>
        <v>126.48339657080169</v>
      </c>
      <c r="L63" s="19">
        <f t="shared" si="26"/>
        <v>3.3195648639426787E-5</v>
      </c>
      <c r="M63" s="16">
        <f>M62</f>
        <v>303728.5811667731</v>
      </c>
      <c r="N63" s="19">
        <f t="shared" si="27"/>
        <v>7.9713761137968422E-2</v>
      </c>
      <c r="O63" s="16">
        <f>O62</f>
        <v>54374.931577999865</v>
      </c>
      <c r="P63" s="19">
        <f t="shared" si="28"/>
        <v>1.4270735704395507E-2</v>
      </c>
      <c r="Q63" s="16">
        <f t="shared" si="29"/>
        <v>3810240.2500000005</v>
      </c>
      <c r="R63" s="13">
        <f t="shared" si="29"/>
        <v>1</v>
      </c>
    </row>
    <row r="64" spans="1:18" x14ac:dyDescent="0.25">
      <c r="A64" s="3">
        <v>43313</v>
      </c>
      <c r="B64" t="s">
        <v>94</v>
      </c>
      <c r="C64" s="11">
        <v>-1500</v>
      </c>
      <c r="D64" s="11">
        <v>8551.19</v>
      </c>
      <c r="E64" s="1">
        <f>C56</f>
        <v>3800189.06</v>
      </c>
      <c r="F64" s="1">
        <f t="shared" si="23"/>
        <v>3808740.25</v>
      </c>
      <c r="G64" s="16">
        <f t="shared" ref="G64" si="30">G63+(H63*C64)</f>
        <v>2399551.1127869356</v>
      </c>
      <c r="H64" s="19">
        <f t="shared" si="24"/>
        <v>0.63001175067975179</v>
      </c>
      <c r="I64">
        <f t="shared" ref="I64" si="31">I63+(J63*C64)</f>
        <v>1051100.1676104572</v>
      </c>
      <c r="J64" s="19">
        <f t="shared" si="25"/>
        <v>0.27597055682924482</v>
      </c>
      <c r="K64" s="16">
        <f t="shared" ref="K64" si="32">K63+(L63*C64)</f>
        <v>126.43360309784255</v>
      </c>
      <c r="L64" s="19">
        <f t="shared" si="26"/>
        <v>3.3195648639426787E-5</v>
      </c>
      <c r="M64" s="16">
        <f t="shared" ref="M64" si="33">M63+(N63*C64)</f>
        <v>303609.01052506617</v>
      </c>
      <c r="N64" s="19">
        <f t="shared" si="27"/>
        <v>7.9713761137968436E-2</v>
      </c>
      <c r="O64" s="16">
        <f t="shared" ref="O64" si="34">O63+(P63*C64)</f>
        <v>54353.525474443275</v>
      </c>
      <c r="P64" s="19">
        <f t="shared" si="28"/>
        <v>1.4270735704395509E-2</v>
      </c>
      <c r="Q64" s="16">
        <f t="shared" si="29"/>
        <v>3808740.25</v>
      </c>
      <c r="R64" s="13">
        <f t="shared" si="29"/>
        <v>1</v>
      </c>
    </row>
    <row r="65" spans="1:18" x14ac:dyDescent="0.25">
      <c r="A65" s="3">
        <v>43325</v>
      </c>
      <c r="B65" t="s">
        <v>95</v>
      </c>
      <c r="C65" s="11">
        <v>-2944.6</v>
      </c>
      <c r="D65" s="11">
        <v>5606.59</v>
      </c>
      <c r="E65" s="1">
        <f>C56</f>
        <v>3800189.06</v>
      </c>
      <c r="F65" s="1">
        <f t="shared" si="23"/>
        <v>3805795.65</v>
      </c>
      <c r="G65" s="16">
        <f>G64</f>
        <v>2399551.1127869356</v>
      </c>
      <c r="H65" s="19">
        <f t="shared" ref="H65:H66" si="35">G65/F65</f>
        <v>0.6304992000258699</v>
      </c>
      <c r="I65">
        <f>I64+C65</f>
        <v>1048155.5676104572</v>
      </c>
      <c r="J65" s="19">
        <f t="shared" ref="J65:J66" si="36">I65/F65</f>
        <v>0.27541036461336466</v>
      </c>
      <c r="K65" s="16">
        <f>K64</f>
        <v>126.43360309784255</v>
      </c>
      <c r="L65" s="19">
        <f t="shared" ref="L65:L66" si="37">K65/F65</f>
        <v>3.3221332600409731E-5</v>
      </c>
      <c r="M65" s="16">
        <f>M64</f>
        <v>303609.01052506617</v>
      </c>
      <c r="N65" s="19">
        <f t="shared" ref="N65:N66" si="38">M65/F65</f>
        <v>7.9775436845923711E-2</v>
      </c>
      <c r="O65" s="16">
        <f>O64</f>
        <v>54353.525474443275</v>
      </c>
      <c r="P65" s="19">
        <f t="shared" ref="P65:P66" si="39">O65/F65</f>
        <v>1.4281777182241322E-2</v>
      </c>
      <c r="Q65" s="16">
        <f t="shared" ref="Q65:Q66" si="40">G65+I65+K65+M65+O65</f>
        <v>3805795.6499999994</v>
      </c>
      <c r="R65" s="13">
        <f t="shared" ref="R65:R66" si="41">H65+J65+L65+N65+P65</f>
        <v>1</v>
      </c>
    </row>
    <row r="66" spans="1:18" x14ac:dyDescent="0.25">
      <c r="A66" s="3">
        <v>43325</v>
      </c>
      <c r="B66" t="s">
        <v>96</v>
      </c>
      <c r="C66">
        <v>-708.5</v>
      </c>
      <c r="D66" s="11">
        <v>4898.09</v>
      </c>
      <c r="E66" s="1">
        <f>C56</f>
        <v>3800189.06</v>
      </c>
      <c r="F66" s="1">
        <f t="shared" si="23"/>
        <v>3805087.15</v>
      </c>
      <c r="G66" s="16">
        <f>G65+C66</f>
        <v>2398842.6127869356</v>
      </c>
      <c r="H66" s="19">
        <f t="shared" si="35"/>
        <v>0.63043039967873948</v>
      </c>
      <c r="I66">
        <f>I65</f>
        <v>1048155.5676104572</v>
      </c>
      <c r="J66" s="19">
        <f t="shared" si="36"/>
        <v>0.27546164550014501</v>
      </c>
      <c r="K66" s="16">
        <f>K65</f>
        <v>126.43360309784255</v>
      </c>
      <c r="L66" s="19">
        <f t="shared" si="37"/>
        <v>3.3227518349439793E-5</v>
      </c>
      <c r="M66" s="16">
        <f>M65</f>
        <v>303609.01052506617</v>
      </c>
      <c r="N66" s="19">
        <f t="shared" si="38"/>
        <v>7.9790290880740064E-2</v>
      </c>
      <c r="O66" s="16">
        <f>O65</f>
        <v>54353.525474443275</v>
      </c>
      <c r="P66" s="19">
        <f t="shared" si="39"/>
        <v>1.4284436422026044E-2</v>
      </c>
      <c r="Q66" s="16">
        <f t="shared" si="40"/>
        <v>3805087.1499999994</v>
      </c>
      <c r="R66" s="13">
        <f t="shared" si="41"/>
        <v>1.0000000000000002</v>
      </c>
    </row>
    <row r="67" spans="1:18" x14ac:dyDescent="0.25">
      <c r="A67" s="3">
        <v>43325</v>
      </c>
      <c r="B67" t="s">
        <v>97</v>
      </c>
      <c r="C67" s="11">
        <v>-1805.4</v>
      </c>
      <c r="D67" s="11">
        <v>3092.69</v>
      </c>
      <c r="E67" s="1">
        <f>C56</f>
        <v>3800189.06</v>
      </c>
      <c r="F67" s="1">
        <f t="shared" si="23"/>
        <v>3803281.75</v>
      </c>
      <c r="G67" s="16">
        <f>G66</f>
        <v>2398842.6127869356</v>
      </c>
      <c r="H67" s="19">
        <f t="shared" ref="H67:H70" si="42">G67/F67</f>
        <v>0.63072966203120129</v>
      </c>
      <c r="I67">
        <f>I66+C67</f>
        <v>1046350.1676104572</v>
      </c>
      <c r="J67" s="19">
        <f t="shared" ref="J67:J70" si="43">I67/F67</f>
        <v>0.27511771054312689</v>
      </c>
      <c r="K67" s="16">
        <f>K66</f>
        <v>126.43360309784255</v>
      </c>
      <c r="L67" s="19">
        <f t="shared" ref="L67:L70" si="44">K67/F67</f>
        <v>3.3243291296481667E-5</v>
      </c>
      <c r="M67" s="16">
        <f>M66</f>
        <v>303609.01052506617</v>
      </c>
      <c r="N67" s="19">
        <f t="shared" ref="N67:N70" si="45">M67/F67</f>
        <v>7.9828166957408866E-2</v>
      </c>
      <c r="O67" s="16">
        <f>O66</f>
        <v>54353.525474443275</v>
      </c>
      <c r="P67" s="19">
        <f t="shared" ref="P67:P70" si="46">O67/F67</f>
        <v>1.4291217176966518E-2</v>
      </c>
      <c r="Q67" s="16">
        <f t="shared" ref="Q67:Q70" si="47">G67+I67+K67+M67+O67</f>
        <v>3803281.75</v>
      </c>
      <c r="R67" s="13">
        <f t="shared" ref="R67:R70" si="48">H67+J67+L67+N67+P67</f>
        <v>1</v>
      </c>
    </row>
    <row r="68" spans="1:18" x14ac:dyDescent="0.25">
      <c r="A68" s="3">
        <v>43325</v>
      </c>
      <c r="B68" t="s">
        <v>98</v>
      </c>
      <c r="C68">
        <v>-708.5</v>
      </c>
      <c r="D68" s="11">
        <v>2384.19</v>
      </c>
      <c r="E68" s="1">
        <f>C56</f>
        <v>3800189.06</v>
      </c>
      <c r="F68" s="1">
        <f t="shared" si="23"/>
        <v>3802573.25</v>
      </c>
      <c r="G68" s="16">
        <f>G67+C68</f>
        <v>2398134.1127869356</v>
      </c>
      <c r="H68" s="19">
        <f t="shared" si="42"/>
        <v>0.63066085913977743</v>
      </c>
      <c r="I68">
        <f>I67</f>
        <v>1046350.1676104572</v>
      </c>
      <c r="J68" s="19">
        <f t="shared" si="43"/>
        <v>0.2751689708042987</v>
      </c>
      <c r="K68" s="16">
        <f>K67</f>
        <v>126.43360309784255</v>
      </c>
      <c r="L68" s="19">
        <f t="shared" si="44"/>
        <v>3.3249485226311564E-5</v>
      </c>
      <c r="M68" s="16">
        <f>M67</f>
        <v>303609.01052506617</v>
      </c>
      <c r="N68" s="19">
        <f t="shared" si="45"/>
        <v>7.9843040637038662E-2</v>
      </c>
      <c r="O68" s="16">
        <f>O67</f>
        <v>54353.525474443275</v>
      </c>
      <c r="P68" s="19">
        <f t="shared" si="46"/>
        <v>1.4293879933658944E-2</v>
      </c>
      <c r="Q68" s="16">
        <f t="shared" si="47"/>
        <v>3802573.25</v>
      </c>
      <c r="R68" s="13">
        <f t="shared" si="48"/>
        <v>1</v>
      </c>
    </row>
    <row r="69" spans="1:18" x14ac:dyDescent="0.25">
      <c r="A69" s="3">
        <v>43346</v>
      </c>
      <c r="B69" t="s">
        <v>94</v>
      </c>
      <c r="C69" s="11">
        <v>-1500</v>
      </c>
      <c r="D69">
        <v>884.19</v>
      </c>
      <c r="E69" s="1">
        <f>C56</f>
        <v>3800189.06</v>
      </c>
      <c r="F69" s="1">
        <f t="shared" si="23"/>
        <v>3801073.25</v>
      </c>
      <c r="G69" s="16">
        <f t="shared" ref="G69:G70" si="49">G68+(H68*C69)</f>
        <v>2397188.1214982262</v>
      </c>
      <c r="H69" s="19">
        <f t="shared" si="42"/>
        <v>0.63066085913977743</v>
      </c>
      <c r="I69">
        <f t="shared" ref="I69:I70" si="50">I68+(J68*C69)</f>
        <v>1045937.4141542508</v>
      </c>
      <c r="J69" s="19">
        <f t="shared" si="43"/>
        <v>0.2751689708042987</v>
      </c>
      <c r="K69" s="16">
        <f t="shared" ref="K69:K70" si="51">K68+(L68*C69)</f>
        <v>126.38372887000308</v>
      </c>
      <c r="L69" s="19">
        <f t="shared" si="44"/>
        <v>3.3249485226311564E-5</v>
      </c>
      <c r="M69" s="16">
        <f t="shared" ref="M69:M70" si="52">M68+(N68*C69)</f>
        <v>303489.2459641106</v>
      </c>
      <c r="N69" s="19">
        <f t="shared" si="45"/>
        <v>7.9843040637038662E-2</v>
      </c>
      <c r="O69" s="16">
        <f t="shared" ref="O69:O70" si="53">O68+(P68*C69)</f>
        <v>54332.084654542785</v>
      </c>
      <c r="P69" s="19">
        <f t="shared" si="46"/>
        <v>1.4293879933658944E-2</v>
      </c>
      <c r="Q69" s="16">
        <f t="shared" si="47"/>
        <v>3801073.25</v>
      </c>
      <c r="R69" s="13">
        <f t="shared" si="48"/>
        <v>1</v>
      </c>
    </row>
    <row r="70" spans="1:18" x14ac:dyDescent="0.25">
      <c r="A70" s="3">
        <v>43360</v>
      </c>
      <c r="B70" t="s">
        <v>99</v>
      </c>
      <c r="C70" s="11">
        <v>20771.88</v>
      </c>
      <c r="D70" s="11">
        <v>21656.07</v>
      </c>
      <c r="E70" s="1">
        <f>C56</f>
        <v>3800189.06</v>
      </c>
      <c r="F70" s="1">
        <f t="shared" si="23"/>
        <v>3821845.13</v>
      </c>
      <c r="G70" s="16">
        <f t="shared" si="49"/>
        <v>2410288.1331849745</v>
      </c>
      <c r="H70" s="19">
        <f t="shared" si="42"/>
        <v>0.63066085913977754</v>
      </c>
      <c r="I70">
        <f t="shared" si="50"/>
        <v>1051653.1909955211</v>
      </c>
      <c r="J70" s="19">
        <f t="shared" si="43"/>
        <v>0.2751689708042987</v>
      </c>
      <c r="K70" s="16">
        <f t="shared" si="51"/>
        <v>127.0743831871858</v>
      </c>
      <c r="L70" s="19">
        <f t="shared" si="44"/>
        <v>3.3249485226311564E-5</v>
      </c>
      <c r="M70" s="16">
        <f t="shared" si="52"/>
        <v>305147.7360230583</v>
      </c>
      <c r="N70" s="19">
        <f t="shared" si="45"/>
        <v>7.9843040637038662E-2</v>
      </c>
      <c r="O70" s="16">
        <f t="shared" si="53"/>
        <v>54628.995413259159</v>
      </c>
      <c r="P70" s="19">
        <f t="shared" si="46"/>
        <v>1.4293879933658944E-2</v>
      </c>
      <c r="Q70" s="16">
        <f t="shared" si="47"/>
        <v>3821845.1300000004</v>
      </c>
      <c r="R70" s="13">
        <f t="shared" si="48"/>
        <v>1.0000000000000002</v>
      </c>
    </row>
    <row r="71" spans="1:18" x14ac:dyDescent="0.25">
      <c r="A71" s="3">
        <v>43362</v>
      </c>
      <c r="B71" t="s">
        <v>100</v>
      </c>
      <c r="C71">
        <v>-708.5</v>
      </c>
      <c r="D71" s="11">
        <v>20947.57</v>
      </c>
      <c r="E71" s="1">
        <f>C56</f>
        <v>3800189.06</v>
      </c>
      <c r="F71" s="1">
        <f t="shared" si="23"/>
        <v>3821136.63</v>
      </c>
      <c r="G71" s="16">
        <f>G70+C71</f>
        <v>2409579.6331849745</v>
      </c>
      <c r="H71" s="19">
        <f t="shared" ref="H71" si="54">G71/F71</f>
        <v>0.63059237774101118</v>
      </c>
      <c r="I71">
        <f>I70</f>
        <v>1051653.1909955211</v>
      </c>
      <c r="J71" s="19">
        <f t="shared" ref="J71" si="55">I71/F71</f>
        <v>0.275219991543595</v>
      </c>
      <c r="K71" s="16">
        <f>K70</f>
        <v>127.0743831871858</v>
      </c>
      <c r="L71" s="19">
        <f t="shared" ref="L71" si="56">K71/F71</f>
        <v>3.3255650214000805E-5</v>
      </c>
      <c r="M71" s="16">
        <f>M70</f>
        <v>305147.7360230583</v>
      </c>
      <c r="N71" s="19">
        <f t="shared" ref="N71" si="57">M71/F71</f>
        <v>7.985784481699057E-2</v>
      </c>
      <c r="O71" s="16">
        <f>O70</f>
        <v>54628.995413259159</v>
      </c>
      <c r="P71" s="19">
        <f t="shared" ref="P71" si="58">O71/F71</f>
        <v>1.4296530248189309E-2</v>
      </c>
      <c r="Q71" s="16">
        <f t="shared" ref="Q71" si="59">G71+I71+K71+M71+O71</f>
        <v>3821136.6300000004</v>
      </c>
      <c r="R71" s="13">
        <f t="shared" ref="R71" si="60">H71+J71+L71+N71+P71</f>
        <v>1</v>
      </c>
    </row>
    <row r="72" spans="1:18" x14ac:dyDescent="0.25">
      <c r="A72" s="3">
        <v>43362</v>
      </c>
      <c r="B72" t="s">
        <v>101</v>
      </c>
      <c r="C72" s="11">
        <v>-1805.8</v>
      </c>
      <c r="D72" s="11">
        <v>19141.77</v>
      </c>
      <c r="E72" s="1">
        <f>C56</f>
        <v>3800189.06</v>
      </c>
      <c r="F72" s="1">
        <f t="shared" si="23"/>
        <v>3819330.83</v>
      </c>
      <c r="G72" s="16">
        <f>G71</f>
        <v>2409579.6331849745</v>
      </c>
      <c r="H72" s="19">
        <f t="shared" ref="H72:H75" si="61">G72/F72</f>
        <v>0.63089052518264688</v>
      </c>
      <c r="I72">
        <f>I71+C72</f>
        <v>1049847.3909955211</v>
      </c>
      <c r="J72" s="19">
        <f t="shared" ref="J72:J75" si="62">I72/F72</f>
        <v>0.27487731168748247</v>
      </c>
      <c r="K72" s="16">
        <f>K71</f>
        <v>127.0743831871858</v>
      </c>
      <c r="L72" s="19">
        <f t="shared" ref="L72:L75" si="63">K72/F72</f>
        <v>3.3271373662905705E-5</v>
      </c>
      <c r="M72" s="16">
        <f>M71</f>
        <v>305147.7360230583</v>
      </c>
      <c r="N72" s="19">
        <f t="shared" ref="N72:N75" si="64">M72/F72</f>
        <v>7.9895602032217322E-2</v>
      </c>
      <c r="O72" s="16">
        <f>O71</f>
        <v>54628.995413259159</v>
      </c>
      <c r="P72" s="19">
        <f t="shared" ref="P72:P75" si="65">O72/F72</f>
        <v>1.4303289723990514E-2</v>
      </c>
      <c r="Q72" s="16">
        <f t="shared" ref="Q72:Q75" si="66">G72+I72+K72+M72+O72</f>
        <v>3819330.83</v>
      </c>
      <c r="R72" s="13">
        <f t="shared" ref="R72:R75" si="67">H72+J72+L72+N72+P72</f>
        <v>1.0000000000000002</v>
      </c>
    </row>
    <row r="73" spans="1:18" x14ac:dyDescent="0.25">
      <c r="A73" s="3">
        <v>43362</v>
      </c>
      <c r="B73" t="s">
        <v>102</v>
      </c>
      <c r="C73" s="11">
        <v>-2944.2</v>
      </c>
      <c r="D73" s="11">
        <v>16197.57</v>
      </c>
      <c r="E73" s="1">
        <f>C56</f>
        <v>3800189.06</v>
      </c>
      <c r="F73" s="1">
        <f t="shared" si="23"/>
        <v>3816386.63</v>
      </c>
      <c r="G73" s="16">
        <f>G72</f>
        <v>2409579.6331849745</v>
      </c>
      <c r="H73" s="19">
        <f t="shared" si="61"/>
        <v>0.63137723370154841</v>
      </c>
      <c r="I73">
        <f>I72+C73</f>
        <v>1046903.1909955211</v>
      </c>
      <c r="J73" s="19">
        <f t="shared" si="62"/>
        <v>0.27431790656795202</v>
      </c>
      <c r="K73" s="16">
        <f>K72</f>
        <v>127.0743831871858</v>
      </c>
      <c r="L73" s="19">
        <f t="shared" si="63"/>
        <v>3.3297041287241329E-5</v>
      </c>
      <c r="M73" s="16">
        <f>M72</f>
        <v>305147.7360230583</v>
      </c>
      <c r="N73" s="19">
        <f t="shared" si="64"/>
        <v>7.9957238510464629E-2</v>
      </c>
      <c r="O73" s="16">
        <f>O72</f>
        <v>54628.995413259159</v>
      </c>
      <c r="P73" s="19">
        <f t="shared" si="65"/>
        <v>1.4314324178747886E-2</v>
      </c>
      <c r="Q73" s="16">
        <f t="shared" si="66"/>
        <v>3816386.6300000004</v>
      </c>
      <c r="R73" s="13">
        <f t="shared" si="67"/>
        <v>1.0000000000000002</v>
      </c>
    </row>
    <row r="74" spans="1:18" x14ac:dyDescent="0.25">
      <c r="A74" s="3">
        <v>43362</v>
      </c>
      <c r="B74" t="s">
        <v>103</v>
      </c>
      <c r="C74">
        <v>-708.5</v>
      </c>
      <c r="D74" s="11">
        <v>15489.07</v>
      </c>
      <c r="E74" s="1">
        <f>C56</f>
        <v>3800189.06</v>
      </c>
      <c r="F74" s="1">
        <f t="shared" si="23"/>
        <v>3815678.13</v>
      </c>
      <c r="G74" s="16">
        <f>G73+C74</f>
        <v>2408871.1331849745</v>
      </c>
      <c r="H74" s="19">
        <f t="shared" si="61"/>
        <v>0.63130878735439211</v>
      </c>
      <c r="I74">
        <f>I73</f>
        <v>1046903.1909955211</v>
      </c>
      <c r="J74" s="19">
        <f t="shared" si="62"/>
        <v>0.2743688422680246</v>
      </c>
      <c r="K74" s="16">
        <f>K73</f>
        <v>127.0743831871858</v>
      </c>
      <c r="L74" s="19">
        <f t="shared" si="63"/>
        <v>3.3303223924494333E-5</v>
      </c>
      <c r="M74" s="16">
        <f>M73</f>
        <v>305147.7360230583</v>
      </c>
      <c r="N74" s="19">
        <f t="shared" si="64"/>
        <v>7.9972085072872304E-2</v>
      </c>
      <c r="O74" s="16">
        <f>O73</f>
        <v>54628.995413259159</v>
      </c>
      <c r="P74" s="19">
        <f t="shared" si="65"/>
        <v>1.4316982080786557E-2</v>
      </c>
      <c r="Q74" s="16">
        <f t="shared" si="66"/>
        <v>3815678.1300000004</v>
      </c>
      <c r="R74" s="13">
        <f t="shared" si="67"/>
        <v>1</v>
      </c>
    </row>
    <row r="75" spans="1:18" x14ac:dyDescent="0.25">
      <c r="A75" s="3">
        <v>43374</v>
      </c>
      <c r="B75" t="s">
        <v>104</v>
      </c>
      <c r="C75" s="11">
        <v>-1500</v>
      </c>
      <c r="D75" s="11">
        <v>13989.07</v>
      </c>
      <c r="E75" s="1">
        <f>C56</f>
        <v>3800189.06</v>
      </c>
      <c r="F75" s="1">
        <f t="shared" si="23"/>
        <v>3814178.13</v>
      </c>
      <c r="G75" s="16">
        <f t="shared" ref="G75" si="68">G74+(H74*C75)</f>
        <v>2407924.1700039431</v>
      </c>
      <c r="H75" s="19">
        <f t="shared" si="61"/>
        <v>0.63130878735439222</v>
      </c>
      <c r="I75">
        <f t="shared" ref="I75" si="69">I74+(J74*C75)</f>
        <v>1046491.6377321191</v>
      </c>
      <c r="J75" s="19">
        <f t="shared" si="62"/>
        <v>0.2743688422680246</v>
      </c>
      <c r="K75" s="16">
        <f t="shared" ref="K75" si="70">K74+(L74*C75)</f>
        <v>127.02442835129906</v>
      </c>
      <c r="L75" s="19">
        <f t="shared" si="63"/>
        <v>3.3303223924494333E-5</v>
      </c>
      <c r="M75" s="16">
        <f t="shared" ref="M75" si="71">M74+(N74*C75)</f>
        <v>305027.77789544902</v>
      </c>
      <c r="N75" s="19">
        <f t="shared" si="64"/>
        <v>7.9972085072872318E-2</v>
      </c>
      <c r="O75" s="16">
        <f t="shared" ref="O75" si="72">O74+(P74*C75)</f>
        <v>54607.51994013798</v>
      </c>
      <c r="P75" s="19">
        <f t="shared" si="65"/>
        <v>1.4316982080786557E-2</v>
      </c>
      <c r="Q75" s="16">
        <f t="shared" si="66"/>
        <v>3814178.1300000008</v>
      </c>
      <c r="R75" s="13">
        <f t="shared" si="67"/>
        <v>1.0000000000000002</v>
      </c>
    </row>
    <row r="76" spans="1:18" x14ac:dyDescent="0.25">
      <c r="A76" s="3">
        <v>43385</v>
      </c>
      <c r="B76" t="s">
        <v>105</v>
      </c>
      <c r="C76">
        <v>-708.5</v>
      </c>
      <c r="D76" s="11">
        <v>13280.57</v>
      </c>
      <c r="E76" s="1">
        <f>C56</f>
        <v>3800189.06</v>
      </c>
      <c r="F76" s="1">
        <f t="shared" si="23"/>
        <v>3813469.63</v>
      </c>
      <c r="G76" s="16">
        <f>G75+C76</f>
        <v>2407215.6700039431</v>
      </c>
      <c r="H76" s="19">
        <f t="shared" ref="H76" si="73">G76/F76</f>
        <v>0.63124028865124149</v>
      </c>
      <c r="I76">
        <f>I75</f>
        <v>1046491.6377321191</v>
      </c>
      <c r="J76" s="19">
        <f t="shared" ref="J76" si="74">I76/F76</f>
        <v>0.2744198169298438</v>
      </c>
      <c r="K76" s="16">
        <f>K75</f>
        <v>127.02442835129906</v>
      </c>
      <c r="L76" s="19">
        <f t="shared" ref="L76" si="75">K76/F76</f>
        <v>3.3309411290971545E-5</v>
      </c>
      <c r="M76" s="16">
        <f>M75</f>
        <v>305027.77789544902</v>
      </c>
      <c r="N76" s="19">
        <f t="shared" ref="N76" si="76">M76/F76</f>
        <v>7.9986942991715659E-2</v>
      </c>
      <c r="O76" s="16">
        <f>O75</f>
        <v>54607.51994013798</v>
      </c>
      <c r="P76" s="19">
        <f t="shared" ref="P76" si="77">O76/F76</f>
        <v>1.4319642015908221E-2</v>
      </c>
      <c r="Q76" s="16">
        <f t="shared" ref="Q76" si="78">G76+I76+K76+M76+O76</f>
        <v>3813469.6300000008</v>
      </c>
      <c r="R76" s="13">
        <f t="shared" ref="R76" si="79">H76+J76+L76+N76+P76</f>
        <v>1.0000000000000002</v>
      </c>
    </row>
    <row r="77" spans="1:18" x14ac:dyDescent="0.25">
      <c r="A77" s="3">
        <v>43385</v>
      </c>
      <c r="B77" t="s">
        <v>106</v>
      </c>
      <c r="C77" s="11">
        <v>-2944.2</v>
      </c>
      <c r="D77" s="11">
        <v>10336.370000000001</v>
      </c>
      <c r="E77" s="1">
        <f>C56</f>
        <v>3800189.06</v>
      </c>
      <c r="F77" s="1">
        <f t="shared" si="23"/>
        <v>3810525.43</v>
      </c>
      <c r="G77" s="16">
        <f>G76</f>
        <v>2407215.6700039431</v>
      </c>
      <c r="H77" s="19">
        <f t="shared" ref="H77:H80" si="80">G77/F77</f>
        <v>0.63172801605051698</v>
      </c>
      <c r="I77">
        <f>I76+C77</f>
        <v>1043547.4377321191</v>
      </c>
      <c r="J77" s="19">
        <f t="shared" ref="J77:J80" si="81">I77/F77</f>
        <v>0.27385919787238344</v>
      </c>
      <c r="K77" s="16">
        <f>K76</f>
        <v>127.02442835129906</v>
      </c>
      <c r="L77" s="19">
        <f t="shared" ref="L77:L80" si="82">K77/F77</f>
        <v>3.3335147785983692E-5</v>
      </c>
      <c r="M77" s="16">
        <f>M76</f>
        <v>305027.77789544902</v>
      </c>
      <c r="N77" s="19">
        <f t="shared" ref="N77:N80" si="83">M77/F77</f>
        <v>8.0048744851297052E-2</v>
      </c>
      <c r="O77" s="16">
        <f>O76</f>
        <v>54607.51994013798</v>
      </c>
      <c r="P77" s="19">
        <f t="shared" ref="P77:P80" si="84">O77/F77</f>
        <v>1.4330706078016642E-2</v>
      </c>
      <c r="Q77" s="16">
        <f t="shared" ref="Q77:Q80" si="85">G77+I77+K77+M77+O77</f>
        <v>3810525.4300000006</v>
      </c>
      <c r="R77" s="13">
        <f t="shared" ref="R77:R80" si="86">H77+J77+L77+N77+P77</f>
        <v>1.0000000000000002</v>
      </c>
    </row>
    <row r="78" spans="1:18" x14ac:dyDescent="0.25">
      <c r="A78" s="3">
        <v>43385</v>
      </c>
      <c r="B78" t="s">
        <v>107</v>
      </c>
      <c r="C78" s="11">
        <v>-1805.8</v>
      </c>
      <c r="D78" s="11">
        <v>8530.57</v>
      </c>
      <c r="E78" s="1">
        <f>C56</f>
        <v>3800189.06</v>
      </c>
      <c r="F78" s="1">
        <f t="shared" si="23"/>
        <v>3808719.63</v>
      </c>
      <c r="G78" s="16">
        <f>G77</f>
        <v>2407215.6700039431</v>
      </c>
      <c r="H78" s="19">
        <f t="shared" si="80"/>
        <v>0.63202753257108168</v>
      </c>
      <c r="I78">
        <f>I77+C78</f>
        <v>1041741.6377321191</v>
      </c>
      <c r="J78" s="19">
        <f t="shared" si="81"/>
        <v>0.27351491811754047</v>
      </c>
      <c r="K78" s="16">
        <f>K77</f>
        <v>127.02442835129906</v>
      </c>
      <c r="L78" s="19">
        <f t="shared" si="82"/>
        <v>3.335095273245384E-5</v>
      </c>
      <c r="M78" s="16">
        <f>M77</f>
        <v>305027.77789544902</v>
      </c>
      <c r="N78" s="19">
        <f t="shared" si="83"/>
        <v>8.0086697769205198E-2</v>
      </c>
      <c r="O78" s="16">
        <f>O77</f>
        <v>54607.51994013798</v>
      </c>
      <c r="P78" s="19">
        <f t="shared" si="84"/>
        <v>1.4337500589440336E-2</v>
      </c>
      <c r="Q78" s="16">
        <f t="shared" si="85"/>
        <v>3808719.6300000008</v>
      </c>
      <c r="R78" s="13">
        <f t="shared" si="86"/>
        <v>1.0000000000000002</v>
      </c>
    </row>
    <row r="79" spans="1:18" x14ac:dyDescent="0.25">
      <c r="A79" s="3">
        <v>43385</v>
      </c>
      <c r="B79" t="s">
        <v>108</v>
      </c>
      <c r="C79">
        <v>-708.5</v>
      </c>
      <c r="D79" s="11">
        <v>7822.07</v>
      </c>
      <c r="E79" s="1">
        <f>C56</f>
        <v>3800189.06</v>
      </c>
      <c r="F79" s="1">
        <f t="shared" si="23"/>
        <v>3808011.13</v>
      </c>
      <c r="G79" s="16">
        <f>G78+C79</f>
        <v>2406507.1700039431</v>
      </c>
      <c r="H79" s="19">
        <f t="shared" si="80"/>
        <v>0.63195906940638147</v>
      </c>
      <c r="I79">
        <f>I78</f>
        <v>1041741.6377321191</v>
      </c>
      <c r="J79" s="19">
        <f t="shared" si="81"/>
        <v>0.27356580697076877</v>
      </c>
      <c r="K79" s="16">
        <f>K78</f>
        <v>127.02442835129906</v>
      </c>
      <c r="L79" s="19">
        <f t="shared" si="82"/>
        <v>3.3357157848249004E-5</v>
      </c>
      <c r="M79" s="16">
        <f>M78</f>
        <v>305027.77789544902</v>
      </c>
      <c r="N79" s="19">
        <f t="shared" si="83"/>
        <v>8.010159831004722E-2</v>
      </c>
      <c r="O79" s="16">
        <f>O78</f>
        <v>54607.51994013798</v>
      </c>
      <c r="P79" s="19">
        <f t="shared" si="84"/>
        <v>1.4340168154954416E-2</v>
      </c>
      <c r="Q79" s="16">
        <f t="shared" si="85"/>
        <v>3808011.1300000008</v>
      </c>
      <c r="R79" s="13">
        <f t="shared" si="86"/>
        <v>1</v>
      </c>
    </row>
    <row r="80" spans="1:18" x14ac:dyDescent="0.25">
      <c r="A80" s="3">
        <v>43411</v>
      </c>
      <c r="B80" t="s">
        <v>109</v>
      </c>
      <c r="C80" s="11">
        <v>-1500</v>
      </c>
      <c r="D80" s="11">
        <v>6322.07</v>
      </c>
      <c r="E80" s="1">
        <f>C56</f>
        <v>3800189.06</v>
      </c>
      <c r="F80" s="1">
        <f t="shared" si="23"/>
        <v>3806511.13</v>
      </c>
      <c r="G80" s="16">
        <f t="shared" ref="G80" si="87">G79+(H79*C80)</f>
        <v>2405559.2313998337</v>
      </c>
      <c r="H80" s="19">
        <f t="shared" si="80"/>
        <v>0.63195906940638147</v>
      </c>
      <c r="I80">
        <f t="shared" ref="I80" si="88">I79+(J79*C80)</f>
        <v>1041331.2890216629</v>
      </c>
      <c r="J80" s="19">
        <f t="shared" si="81"/>
        <v>0.27356580697076877</v>
      </c>
      <c r="K80" s="16">
        <f t="shared" ref="K80" si="89">K79+(L79*C80)</f>
        <v>126.97439261452669</v>
      </c>
      <c r="L80" s="19">
        <f t="shared" si="82"/>
        <v>3.3357157848249004E-5</v>
      </c>
      <c r="M80" s="16">
        <f t="shared" ref="M80" si="90">M79+(N79*C80)</f>
        <v>304907.62549798394</v>
      </c>
      <c r="N80" s="19">
        <f t="shared" si="83"/>
        <v>8.010159831004722E-2</v>
      </c>
      <c r="O80" s="16">
        <f t="shared" ref="O80" si="91">O79+(P79*C80)</f>
        <v>54586.009687905549</v>
      </c>
      <c r="P80" s="19">
        <f t="shared" si="84"/>
        <v>1.4340168154954416E-2</v>
      </c>
      <c r="Q80" s="16">
        <f t="shared" si="85"/>
        <v>3806511.1300000004</v>
      </c>
      <c r="R80" s="13">
        <f t="shared" si="86"/>
        <v>1</v>
      </c>
    </row>
    <row r="81" spans="1:18" x14ac:dyDescent="0.25">
      <c r="A81" s="3">
        <v>43425</v>
      </c>
      <c r="B81" t="s">
        <v>110</v>
      </c>
      <c r="C81">
        <v>-708.5</v>
      </c>
      <c r="D81" s="11">
        <v>5613.57</v>
      </c>
      <c r="E81" s="1">
        <f>C56</f>
        <v>3800189.06</v>
      </c>
      <c r="F81" s="1">
        <f t="shared" si="23"/>
        <v>3805802.63</v>
      </c>
      <c r="G81" s="16">
        <f>G80+C81</f>
        <v>2404850.7313998337</v>
      </c>
      <c r="H81" s="19">
        <f t="shared" ref="H81" si="92">G81/F81</f>
        <v>0.63189055376732284</v>
      </c>
      <c r="I81">
        <f>I80</f>
        <v>1041331.2890216629</v>
      </c>
      <c r="J81" s="19">
        <f t="shared" ref="J81" si="93">I81/F81</f>
        <v>0.27361673482832788</v>
      </c>
      <c r="K81" s="16">
        <f>K80</f>
        <v>126.97439261452669</v>
      </c>
      <c r="L81" s="19">
        <f t="shared" ref="L81" si="94">K81/F81</f>
        <v>3.3363367720024595E-5</v>
      </c>
      <c r="M81" s="16">
        <f>M80</f>
        <v>304907.62549798394</v>
      </c>
      <c r="N81" s="19">
        <f t="shared" ref="N81" si="95">M81/F81</f>
        <v>8.0116510271575472E-2</v>
      </c>
      <c r="O81" s="16">
        <f>O80</f>
        <v>54586.009687905549</v>
      </c>
      <c r="P81" s="19">
        <f t="shared" ref="P81" si="96">O81/F81</f>
        <v>1.4342837765053925E-2</v>
      </c>
      <c r="Q81" s="16">
        <f t="shared" ref="Q81" si="97">G81+I81+K81+M81+O81</f>
        <v>3805802.6300000004</v>
      </c>
      <c r="R81" s="13">
        <f t="shared" ref="R81" si="98">H81+J81+L81+N81+P81</f>
        <v>1.0000000000000002</v>
      </c>
    </row>
    <row r="82" spans="1:18" x14ac:dyDescent="0.25">
      <c r="A82" s="3">
        <v>43425</v>
      </c>
      <c r="B82" t="s">
        <v>106</v>
      </c>
      <c r="C82" s="11">
        <v>-2944.6</v>
      </c>
      <c r="D82" s="11">
        <v>2668.97</v>
      </c>
      <c r="E82" s="1">
        <f>C56</f>
        <v>3800189.06</v>
      </c>
      <c r="F82" s="1">
        <f t="shared" si="23"/>
        <v>3802858.0300000003</v>
      </c>
      <c r="G82" s="16">
        <f>G81</f>
        <v>2404850.7313998337</v>
      </c>
      <c r="H82" s="19">
        <f t="shared" ref="H82:H83" si="99">G82/F82</f>
        <v>0.63237983443726753</v>
      </c>
      <c r="I82">
        <f>I81+C82</f>
        <v>1038386.6890216629</v>
      </c>
      <c r="J82" s="19">
        <f t="shared" ref="J82:J83" si="100">I82/F82</f>
        <v>0.2730542872834153</v>
      </c>
      <c r="K82" s="16">
        <f>K81</f>
        <v>126.97439261452669</v>
      </c>
      <c r="L82" s="19">
        <f t="shared" ref="L82:L83" si="101">K82/F82</f>
        <v>3.3389201388232386E-5</v>
      </c>
      <c r="M82" s="16">
        <f>M81</f>
        <v>304907.62549798394</v>
      </c>
      <c r="N82" s="19">
        <f t="shared" ref="N82:N83" si="102">M82/F82</f>
        <v>8.0178545476225396E-2</v>
      </c>
      <c r="O82" s="16">
        <f>O81</f>
        <v>54586.009687905549</v>
      </c>
      <c r="P82" s="19">
        <f t="shared" ref="P82:P83" si="103">O82/F82</f>
        <v>1.435394360170357E-2</v>
      </c>
      <c r="Q82" s="16">
        <f t="shared" ref="Q82:Q83" si="104">G82+I82+K82+M82+O82</f>
        <v>3802858.0300000003</v>
      </c>
      <c r="R82" s="13">
        <f t="shared" ref="R82:R83" si="105">H82+J82+L82+N82+P82</f>
        <v>1</v>
      </c>
    </row>
    <row r="83" spans="1:18" x14ac:dyDescent="0.25">
      <c r="A83" s="3">
        <v>43425</v>
      </c>
      <c r="B83" t="s">
        <v>105</v>
      </c>
      <c r="C83">
        <v>-708.5</v>
      </c>
      <c r="D83" s="11">
        <v>1960.47</v>
      </c>
      <c r="E83" s="1">
        <f>C56</f>
        <v>3800189.06</v>
      </c>
      <c r="F83" s="1">
        <f t="shared" si="23"/>
        <v>3802149.5300000003</v>
      </c>
      <c r="G83" s="16">
        <f>G82+C83</f>
        <v>2404142.2313998337</v>
      </c>
      <c r="H83" s="19">
        <f t="shared" si="99"/>
        <v>0.63231133137465889</v>
      </c>
      <c r="I83">
        <f>I82</f>
        <v>1038386.6890216629</v>
      </c>
      <c r="J83" s="19">
        <f t="shared" si="100"/>
        <v>0.27310516875480773</v>
      </c>
      <c r="K83" s="16">
        <f>K82</f>
        <v>126.97439261452669</v>
      </c>
      <c r="L83" s="19">
        <f t="shared" si="101"/>
        <v>3.3395423197500252E-5</v>
      </c>
      <c r="M83" s="16">
        <f>M82</f>
        <v>304907.62549798394</v>
      </c>
      <c r="N83" s="19">
        <f t="shared" si="102"/>
        <v>8.0193486103631473E-2</v>
      </c>
      <c r="O83" s="16">
        <f>O82</f>
        <v>54586.009687905549</v>
      </c>
      <c r="P83" s="19">
        <f t="shared" si="103"/>
        <v>1.4356618343704526E-2</v>
      </c>
      <c r="Q83" s="16">
        <f t="shared" si="104"/>
        <v>3802149.5300000003</v>
      </c>
      <c r="R83" s="13">
        <f t="shared" si="105"/>
        <v>1</v>
      </c>
    </row>
    <row r="84" spans="1:18" s="6" customFormat="1" x14ac:dyDescent="0.25">
      <c r="A84" s="5">
        <v>43425</v>
      </c>
      <c r="B84" s="6" t="s">
        <v>111</v>
      </c>
      <c r="C84" s="12">
        <v>-1805.4</v>
      </c>
      <c r="D84" s="6">
        <v>155.07</v>
      </c>
      <c r="E84" s="1">
        <f>C56</f>
        <v>3800189.06</v>
      </c>
      <c r="F84" s="1">
        <f t="shared" si="23"/>
        <v>3800344.13</v>
      </c>
      <c r="G84" s="17">
        <f>G83</f>
        <v>2404142.2313998337</v>
      </c>
      <c r="H84" s="20">
        <f t="shared" ref="H84" si="106">G84/F84</f>
        <v>0.63261171861292298</v>
      </c>
      <c r="I84" s="6">
        <f>I83+C84</f>
        <v>1036581.2890216629</v>
      </c>
      <c r="J84" s="20">
        <f t="shared" ref="J84" si="107">I84/F84</f>
        <v>0.27275984846710788</v>
      </c>
      <c r="K84" s="17">
        <f>K83</f>
        <v>126.97439261452669</v>
      </c>
      <c r="L84" s="20">
        <f t="shared" ref="L84" si="108">K84/F84</f>
        <v>3.3411288102092661E-5</v>
      </c>
      <c r="M84" s="17">
        <f>M83</f>
        <v>304907.62549798394</v>
      </c>
      <c r="N84" s="20">
        <f t="shared" ref="N84" si="109">M84/F84</f>
        <v>8.0231583000875226E-2</v>
      </c>
      <c r="O84" s="17">
        <f>O83</f>
        <v>54586.009687905549</v>
      </c>
      <c r="P84" s="20">
        <f t="shared" ref="P84" si="110">O84/F84</f>
        <v>1.4363438630991964E-2</v>
      </c>
      <c r="Q84" s="17">
        <f t="shared" ref="Q84" si="111">G84+I84+K84+M84+O84</f>
        <v>3800344.1300000004</v>
      </c>
      <c r="R84" s="14">
        <f t="shared" ref="R84" si="112">H84+J84+L84+N84+P84</f>
        <v>1</v>
      </c>
    </row>
    <row r="85" spans="1:18" x14ac:dyDescent="0.25">
      <c r="A85" s="3">
        <v>43425</v>
      </c>
      <c r="B85" t="s">
        <v>78</v>
      </c>
      <c r="C85" s="1">
        <v>0</v>
      </c>
      <c r="D85" s="1">
        <f>D84</f>
        <v>155.07</v>
      </c>
      <c r="E85" s="1">
        <f>C92</f>
        <v>3911319.82</v>
      </c>
      <c r="F85" s="1">
        <f t="shared" ref="F85" si="113">D85+E85</f>
        <v>3911474.8899999997</v>
      </c>
      <c r="G85" s="16">
        <f>F85*H76</f>
        <v>2469080.5386156826</v>
      </c>
      <c r="H85" s="19">
        <f t="shared" ref="H85" si="114">G85/F85</f>
        <v>0.63124028865124149</v>
      </c>
      <c r="I85" s="1">
        <f>F85*J76</f>
        <v>1073386.2232394808</v>
      </c>
      <c r="J85" s="19">
        <f t="shared" ref="J85" si="115">I85/F85</f>
        <v>0.2744198169298438</v>
      </c>
      <c r="K85" s="16">
        <f>F85*L76</f>
        <v>130.28892586531768</v>
      </c>
      <c r="L85" s="19">
        <f t="shared" ref="L85" si="116">K85/F85</f>
        <v>3.3309411290971545E-5</v>
      </c>
      <c r="M85" s="16">
        <f>F85*N76</f>
        <v>312866.91903995723</v>
      </c>
      <c r="N85" s="19">
        <f t="shared" ref="N85" si="117">M85/F85</f>
        <v>7.9986942991715645E-2</v>
      </c>
      <c r="O85" s="16">
        <f>F85*P76</f>
        <v>56010.920179013985</v>
      </c>
      <c r="P85" s="19">
        <f t="shared" ref="P85" si="118">O85/F85</f>
        <v>1.4319642015908221E-2</v>
      </c>
      <c r="Q85" s="16">
        <f t="shared" ref="Q85" si="119">G85+I85+K85+M85+O85</f>
        <v>3911474.89</v>
      </c>
      <c r="R85" s="13">
        <f t="shared" ref="R85" si="120">H85+J85+L85+N85+P85</f>
        <v>1.0000000000000002</v>
      </c>
    </row>
    <row r="86" spans="1:18" x14ac:dyDescent="0.25">
      <c r="A86" t="s">
        <v>79</v>
      </c>
    </row>
    <row r="87" spans="1:18" s="8" customFormat="1" x14ac:dyDescent="0.25">
      <c r="B87" s="8" t="s">
        <v>80</v>
      </c>
      <c r="C87" s="9">
        <v>350960.36</v>
      </c>
      <c r="D87" s="9"/>
      <c r="E87" s="9"/>
      <c r="F87" s="9"/>
      <c r="G87" s="18"/>
      <c r="H87" s="21"/>
      <c r="I87" s="9"/>
      <c r="J87" s="21"/>
      <c r="K87" s="18"/>
      <c r="L87" s="21"/>
      <c r="M87" s="18"/>
      <c r="N87" s="21"/>
      <c r="O87" s="18"/>
      <c r="P87" s="21"/>
      <c r="Q87" s="18"/>
      <c r="R87" s="15"/>
    </row>
    <row r="88" spans="1:18" x14ac:dyDescent="0.25">
      <c r="B88" t="s">
        <v>121</v>
      </c>
      <c r="C88" s="1">
        <v>558788</v>
      </c>
    </row>
    <row r="89" spans="1:18" x14ac:dyDescent="0.25">
      <c r="B89" t="s">
        <v>120</v>
      </c>
      <c r="C89" s="1">
        <v>51372</v>
      </c>
    </row>
    <row r="90" spans="1:18" x14ac:dyDescent="0.25">
      <c r="B90" t="s">
        <v>82</v>
      </c>
      <c r="C90" s="1">
        <v>2700000</v>
      </c>
    </row>
    <row r="91" spans="1:18" x14ac:dyDescent="0.25">
      <c r="A91" s="3">
        <v>43396</v>
      </c>
      <c r="B91" s="6" t="s">
        <v>83</v>
      </c>
      <c r="C91" s="4">
        <v>250199.46</v>
      </c>
      <c r="D91" s="4" t="s">
        <v>87</v>
      </c>
      <c r="E91" s="4"/>
      <c r="F91" s="4"/>
      <c r="G91" s="17"/>
      <c r="H91" s="20"/>
      <c r="I91" s="4"/>
      <c r="J91" s="20"/>
    </row>
    <row r="92" spans="1:18" x14ac:dyDescent="0.25">
      <c r="B92" t="s">
        <v>85</v>
      </c>
      <c r="C92" s="1">
        <f>SUM(C87:C91)</f>
        <v>3911319.82</v>
      </c>
    </row>
    <row r="93" spans="1:18" x14ac:dyDescent="0.25">
      <c r="B93" t="s">
        <v>84</v>
      </c>
      <c r="C93" s="1">
        <f>D84</f>
        <v>155.07</v>
      </c>
    </row>
    <row r="94" spans="1:18" x14ac:dyDescent="0.25">
      <c r="B94" t="s">
        <v>86</v>
      </c>
      <c r="C94" s="1">
        <f>C92+C93</f>
        <v>3911474.8899999997</v>
      </c>
    </row>
    <row r="95" spans="1:18" s="6" customFormat="1" x14ac:dyDescent="0.25">
      <c r="A95" s="5"/>
      <c r="C95" s="12"/>
      <c r="G95" s="17"/>
      <c r="H95" s="20"/>
      <c r="J95" s="20"/>
      <c r="K95" s="17"/>
      <c r="L95" s="20"/>
      <c r="M95" s="17"/>
      <c r="N95" s="20"/>
      <c r="O95" s="17"/>
      <c r="P95" s="20"/>
      <c r="Q95" s="17"/>
      <c r="R95" s="14"/>
    </row>
    <row r="96" spans="1:18" s="6" customFormat="1" x14ac:dyDescent="0.25">
      <c r="A96" s="5"/>
      <c r="C96" s="12"/>
      <c r="G96" s="17"/>
      <c r="H96" s="20"/>
      <c r="J96" s="20"/>
      <c r="K96" s="17"/>
      <c r="L96" s="20"/>
      <c r="M96" s="17"/>
      <c r="N96" s="20"/>
      <c r="O96" s="17"/>
      <c r="P96" s="20"/>
      <c r="Q96" s="17"/>
      <c r="R96" s="14"/>
    </row>
    <row r="97" spans="1:9" x14ac:dyDescent="0.25">
      <c r="A97" s="3">
        <v>43431</v>
      </c>
      <c r="B97" t="s">
        <v>112</v>
      </c>
      <c r="C97" s="11">
        <v>20771.88</v>
      </c>
      <c r="D97" s="11">
        <v>20926.95</v>
      </c>
      <c r="E97"/>
      <c r="F97"/>
      <c r="I97"/>
    </row>
    <row r="98" spans="1:9" x14ac:dyDescent="0.25">
      <c r="A98" s="3">
        <v>43432</v>
      </c>
      <c r="B98" t="s">
        <v>113</v>
      </c>
      <c r="C98" s="11">
        <v>3999.96</v>
      </c>
      <c r="D98" s="11">
        <v>24926.91</v>
      </c>
      <c r="E98"/>
      <c r="F98"/>
      <c r="I98"/>
    </row>
    <row r="99" spans="1:9" x14ac:dyDescent="0.25">
      <c r="A99" s="3">
        <v>43439</v>
      </c>
      <c r="B99" t="s">
        <v>109</v>
      </c>
      <c r="C99" s="11">
        <v>-1500</v>
      </c>
      <c r="D99" s="11">
        <v>23426.91</v>
      </c>
      <c r="E99"/>
      <c r="F99"/>
      <c r="I99"/>
    </row>
    <row r="100" spans="1:9" x14ac:dyDescent="0.25">
      <c r="A100" s="3">
        <v>43448</v>
      </c>
      <c r="B100" t="s">
        <v>106</v>
      </c>
      <c r="C100" s="11">
        <v>-2944.2</v>
      </c>
      <c r="D100" s="11">
        <v>20482.71</v>
      </c>
      <c r="E100"/>
      <c r="F100"/>
      <c r="I100"/>
    </row>
    <row r="101" spans="1:9" x14ac:dyDescent="0.25">
      <c r="A101" s="3">
        <v>43448</v>
      </c>
      <c r="B101" t="s">
        <v>114</v>
      </c>
      <c r="C101" s="11">
        <v>10000</v>
      </c>
      <c r="D101" s="11">
        <v>30482.71</v>
      </c>
      <c r="E101"/>
      <c r="F101"/>
      <c r="I101"/>
    </row>
    <row r="102" spans="1:9" x14ac:dyDescent="0.25">
      <c r="A102" s="3">
        <v>43448</v>
      </c>
      <c r="B102" t="s">
        <v>110</v>
      </c>
      <c r="C102">
        <v>-708.5</v>
      </c>
      <c r="D102" s="11">
        <v>29774.21</v>
      </c>
      <c r="E102"/>
      <c r="F102"/>
      <c r="I102"/>
    </row>
    <row r="103" spans="1:9" x14ac:dyDescent="0.25">
      <c r="A103" s="3">
        <v>43448</v>
      </c>
      <c r="B103" t="s">
        <v>105</v>
      </c>
      <c r="C103">
        <v>-708.5</v>
      </c>
      <c r="D103" s="11">
        <v>29065.71</v>
      </c>
      <c r="E103"/>
      <c r="F103"/>
      <c r="I103"/>
    </row>
    <row r="104" spans="1:9" x14ac:dyDescent="0.25">
      <c r="A104" s="3">
        <v>43448</v>
      </c>
      <c r="B104" t="s">
        <v>111</v>
      </c>
      <c r="C104" s="11">
        <v>-1805.8</v>
      </c>
      <c r="D104" s="11">
        <v>27259.91</v>
      </c>
      <c r="E104"/>
      <c r="F104"/>
      <c r="I104"/>
    </row>
    <row r="105" spans="1:9" x14ac:dyDescent="0.25">
      <c r="A105" s="3">
        <v>43473</v>
      </c>
      <c r="B105" t="s">
        <v>111</v>
      </c>
      <c r="C105" s="11">
        <v>-1805.4</v>
      </c>
      <c r="D105" s="11">
        <v>25454.51</v>
      </c>
      <c r="E105"/>
      <c r="F105"/>
      <c r="I105"/>
    </row>
    <row r="106" spans="1:9" x14ac:dyDescent="0.25">
      <c r="A106" s="3">
        <v>43473</v>
      </c>
      <c r="B106" t="s">
        <v>106</v>
      </c>
      <c r="C106" s="11">
        <v>-2944.6</v>
      </c>
      <c r="D106" s="11">
        <v>22509.91</v>
      </c>
      <c r="E106"/>
      <c r="F106"/>
      <c r="I106"/>
    </row>
    <row r="107" spans="1:9" x14ac:dyDescent="0.25">
      <c r="A107" s="3">
        <v>43473</v>
      </c>
      <c r="B107" t="s">
        <v>109</v>
      </c>
      <c r="C107" s="11">
        <v>-1500</v>
      </c>
      <c r="D107" s="11">
        <v>21009.91</v>
      </c>
      <c r="E107"/>
      <c r="F107"/>
      <c r="I107"/>
    </row>
    <row r="108" spans="1:9" x14ac:dyDescent="0.25">
      <c r="A108" s="3">
        <v>43473</v>
      </c>
      <c r="B108" t="s">
        <v>115</v>
      </c>
      <c r="C108">
        <v>-708.5</v>
      </c>
      <c r="D108" s="11">
        <v>20301.41</v>
      </c>
      <c r="E108"/>
      <c r="F108"/>
      <c r="I108"/>
    </row>
    <row r="109" spans="1:9" x14ac:dyDescent="0.25">
      <c r="A109" s="3">
        <v>43473</v>
      </c>
      <c r="B109" t="s">
        <v>116</v>
      </c>
      <c r="C109">
        <v>-708.5</v>
      </c>
      <c r="D109" s="11">
        <v>19592.91</v>
      </c>
      <c r="E109"/>
      <c r="F109"/>
      <c r="I109"/>
    </row>
    <row r="110" spans="1:9" x14ac:dyDescent="0.25">
      <c r="A110" s="3">
        <v>43497</v>
      </c>
      <c r="B110" t="s">
        <v>109</v>
      </c>
      <c r="C110" s="11">
        <v>-1500</v>
      </c>
      <c r="D110" s="11">
        <v>18092.91</v>
      </c>
      <c r="E110"/>
      <c r="F110"/>
      <c r="I110"/>
    </row>
    <row r="111" spans="1:9" x14ac:dyDescent="0.25">
      <c r="A111" s="3">
        <v>43508</v>
      </c>
      <c r="B111" t="s">
        <v>106</v>
      </c>
      <c r="C111" s="11">
        <v>-2944.2</v>
      </c>
      <c r="D111" s="11">
        <v>15148.71</v>
      </c>
      <c r="E111"/>
      <c r="F111"/>
      <c r="I111"/>
    </row>
    <row r="112" spans="1:9" x14ac:dyDescent="0.25">
      <c r="A112" s="3">
        <v>43508</v>
      </c>
      <c r="B112" t="s">
        <v>105</v>
      </c>
      <c r="C112">
        <v>-708.5</v>
      </c>
      <c r="D112" s="11">
        <v>14440.21</v>
      </c>
      <c r="E112"/>
      <c r="F112"/>
      <c r="I112"/>
    </row>
    <row r="113" spans="1:9" x14ac:dyDescent="0.25">
      <c r="A113" s="3">
        <v>43508</v>
      </c>
      <c r="B113" t="s">
        <v>111</v>
      </c>
      <c r="C113" s="11">
        <v>-1805.8</v>
      </c>
      <c r="D113" s="11">
        <v>12634.41</v>
      </c>
      <c r="E113"/>
      <c r="F113"/>
      <c r="I113"/>
    </row>
    <row r="114" spans="1:9" x14ac:dyDescent="0.25">
      <c r="A114" s="3">
        <v>43508</v>
      </c>
      <c r="B114" t="s">
        <v>110</v>
      </c>
      <c r="C114">
        <v>-708.5</v>
      </c>
      <c r="D114" s="11">
        <v>11925.91</v>
      </c>
      <c r="E114"/>
      <c r="F114"/>
      <c r="I114"/>
    </row>
    <row r="115" spans="1:9" x14ac:dyDescent="0.25">
      <c r="A115" s="3">
        <v>43529</v>
      </c>
      <c r="B115" t="s">
        <v>109</v>
      </c>
      <c r="C115" s="11">
        <v>-1500</v>
      </c>
      <c r="D115" s="11">
        <v>10425.91</v>
      </c>
      <c r="E115"/>
      <c r="F115"/>
      <c r="I115"/>
    </row>
    <row r="116" spans="1:9" x14ac:dyDescent="0.25">
      <c r="A116" s="3">
        <v>43536</v>
      </c>
      <c r="B116" t="s">
        <v>105</v>
      </c>
      <c r="C116">
        <v>-708.5</v>
      </c>
      <c r="D116" s="11">
        <v>9717.41</v>
      </c>
      <c r="E116"/>
      <c r="F116"/>
      <c r="I116"/>
    </row>
    <row r="117" spans="1:9" x14ac:dyDescent="0.25">
      <c r="A117" s="3">
        <v>43536</v>
      </c>
      <c r="B117" t="s">
        <v>110</v>
      </c>
      <c r="C117">
        <v>-708.5</v>
      </c>
      <c r="D117" s="11">
        <v>9008.91</v>
      </c>
      <c r="E117"/>
      <c r="F117"/>
      <c r="I117"/>
    </row>
    <row r="118" spans="1:9" x14ac:dyDescent="0.25">
      <c r="A118" s="3">
        <v>43536</v>
      </c>
      <c r="B118" t="s">
        <v>106</v>
      </c>
      <c r="C118" s="11">
        <v>-2944.2</v>
      </c>
      <c r="D118" s="11">
        <v>6064.71</v>
      </c>
      <c r="E118"/>
      <c r="F118"/>
      <c r="I118"/>
    </row>
    <row r="119" spans="1:9" x14ac:dyDescent="0.25">
      <c r="A119" s="3">
        <v>43536</v>
      </c>
      <c r="B119" t="s">
        <v>111</v>
      </c>
      <c r="C119" s="11">
        <v>-1805.8</v>
      </c>
      <c r="D119" s="11">
        <v>4258.91</v>
      </c>
      <c r="E119"/>
      <c r="F119"/>
      <c r="I119"/>
    </row>
    <row r="120" spans="1:9" x14ac:dyDescent="0.25">
      <c r="A120" s="3">
        <v>43537</v>
      </c>
      <c r="B120" t="s">
        <v>99</v>
      </c>
      <c r="C120" s="11">
        <v>20771.88</v>
      </c>
      <c r="D120" s="11">
        <v>25030.79</v>
      </c>
      <c r="E120"/>
      <c r="F120"/>
      <c r="I120"/>
    </row>
    <row r="121" spans="1:9" x14ac:dyDescent="0.25">
      <c r="A121" s="3">
        <v>43557</v>
      </c>
      <c r="B121" t="s">
        <v>109</v>
      </c>
      <c r="C121" s="11">
        <v>-1500</v>
      </c>
      <c r="D121" s="11">
        <v>23530.79</v>
      </c>
      <c r="E121"/>
      <c r="F121"/>
      <c r="I121"/>
    </row>
    <row r="122" spans="1:9" x14ac:dyDescent="0.25">
      <c r="A122" s="3">
        <v>43565</v>
      </c>
      <c r="B122" t="s">
        <v>117</v>
      </c>
      <c r="C122" s="11">
        <v>-1755.4</v>
      </c>
      <c r="D122" s="11">
        <v>21775.39</v>
      </c>
      <c r="E122"/>
      <c r="F122"/>
      <c r="I122"/>
    </row>
    <row r="123" spans="1:9" x14ac:dyDescent="0.25">
      <c r="A123" s="3">
        <v>43565</v>
      </c>
      <c r="B123" t="s">
        <v>105</v>
      </c>
      <c r="C123">
        <v>-708.5</v>
      </c>
      <c r="D123" s="11">
        <v>21066.89</v>
      </c>
      <c r="E123"/>
      <c r="F123"/>
      <c r="I123"/>
    </row>
    <row r="124" spans="1:9" x14ac:dyDescent="0.25">
      <c r="A124" s="3">
        <v>43565</v>
      </c>
      <c r="B124" t="s">
        <v>106</v>
      </c>
      <c r="C124" s="11">
        <v>-2994.6</v>
      </c>
      <c r="D124" s="11">
        <v>18072.29</v>
      </c>
      <c r="E124"/>
      <c r="F124"/>
      <c r="I124"/>
    </row>
    <row r="125" spans="1:9" x14ac:dyDescent="0.25">
      <c r="A125" s="3">
        <v>43565</v>
      </c>
      <c r="B125" t="s">
        <v>110</v>
      </c>
      <c r="C125">
        <v>-708.5</v>
      </c>
      <c r="D125" s="11">
        <v>17363.79</v>
      </c>
      <c r="E125"/>
      <c r="F125"/>
      <c r="I125"/>
    </row>
    <row r="126" spans="1:9" x14ac:dyDescent="0.25">
      <c r="A126" s="3">
        <v>43579</v>
      </c>
      <c r="B126" t="s">
        <v>118</v>
      </c>
      <c r="C126">
        <v>-528</v>
      </c>
      <c r="D126" s="11">
        <v>16835.79</v>
      </c>
      <c r="E126"/>
      <c r="F126"/>
      <c r="I126"/>
    </row>
    <row r="127" spans="1:9" x14ac:dyDescent="0.25">
      <c r="A127" s="3">
        <v>43586</v>
      </c>
      <c r="B127" t="s">
        <v>119</v>
      </c>
      <c r="C127" s="11">
        <v>-5000</v>
      </c>
      <c r="D127" s="11">
        <v>11835.79</v>
      </c>
      <c r="E127"/>
      <c r="F127"/>
      <c r="I127"/>
    </row>
    <row r="128" spans="1:9" x14ac:dyDescent="0.25">
      <c r="A128" s="3">
        <v>43586</v>
      </c>
      <c r="B128" t="s">
        <v>109</v>
      </c>
      <c r="C128" s="11">
        <v>-1500</v>
      </c>
      <c r="D128" s="11">
        <v>10335.790000000001</v>
      </c>
      <c r="E128"/>
      <c r="F128"/>
      <c r="I12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Top Sheet</vt:lpstr>
      <vt:lpstr>28-11-17 to 05-07-18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Tony</dc:creator>
  <cp:lastModifiedBy>Shelly</cp:lastModifiedBy>
  <dcterms:created xsi:type="dcterms:W3CDTF">2018-07-10T08:52:40Z</dcterms:created>
  <dcterms:modified xsi:type="dcterms:W3CDTF">2019-05-03T12:44:43Z</dcterms:modified>
</cp:coreProperties>
</file>