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W:\vpn\SSAS Clients Pension Practitioner\The\The Pebley Beach Ltd Small Self Administered Scheme\Inbound\"/>
    </mc:Choice>
  </mc:AlternateContent>
  <bookViews>
    <workbookView xWindow="0" yWindow="0" windowWidth="25200" windowHeight="11970"/>
  </bookViews>
  <sheets>
    <sheet name="Pension Value" sheetId="1" r:id="rId1"/>
    <sheet name="Apportionment" sheetId="5" r:id="rId2"/>
    <sheet name="160k loan" sheetId="2" r:id="rId3"/>
    <sheet name="140k loan" sheetId="3" r:id="rId4"/>
    <sheet name="100k Loan" sheetId="4" r:id="rId5"/>
    <sheet name="Mortgage" sheetId="6" r:id="rId6"/>
  </sheets>
  <definedNames>
    <definedName name="_xlnm.Print_Area" localSheetId="1">Apportionment!$A$18:$K$38</definedName>
    <definedName name="_xlnm.Print_Area" localSheetId="0">'Pension Value'!$AL$2:$AZ$36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5" l="1"/>
  <c r="BB3" i="1" l="1"/>
  <c r="G1" i="5"/>
  <c r="I20" i="5" s="1"/>
  <c r="A1" i="5"/>
  <c r="I34" i="5"/>
  <c r="I6" i="5"/>
  <c r="C34" i="5"/>
  <c r="E34" i="5" s="1"/>
  <c r="C36" i="5"/>
  <c r="D36" i="5" s="1"/>
  <c r="I36" i="5"/>
  <c r="C16" i="5"/>
  <c r="C8" i="5"/>
  <c r="C6" i="5"/>
  <c r="C35" i="5"/>
  <c r="D35" i="5" s="1"/>
  <c r="E33" i="5"/>
  <c r="D33" i="5"/>
  <c r="E29" i="5"/>
  <c r="D29" i="5"/>
  <c r="I8" i="5"/>
  <c r="BD19" i="1"/>
  <c r="BD18" i="1"/>
  <c r="BD20" i="1" s="1"/>
  <c r="AY21" i="1" s="1"/>
  <c r="AY36" i="1"/>
  <c r="AY32" i="1"/>
  <c r="AZ10" i="1"/>
  <c r="E35" i="5" l="1"/>
  <c r="AZ23" i="1"/>
  <c r="AZ25" i="1" s="1"/>
  <c r="I35" i="5"/>
  <c r="D34" i="5"/>
  <c r="E36" i="5"/>
  <c r="C10" i="5"/>
  <c r="C13" i="5" s="1"/>
  <c r="J36" i="5"/>
  <c r="I16" i="5"/>
  <c r="J34" i="5"/>
  <c r="AZ36" i="1" l="1"/>
  <c r="AZ34" i="1"/>
  <c r="AZ30" i="1"/>
  <c r="AZ32" i="1"/>
  <c r="I15" i="5" s="1"/>
  <c r="AZ35" i="1"/>
  <c r="AZ31" i="1"/>
  <c r="K36" i="5"/>
  <c r="K34" i="5"/>
  <c r="K33" i="5"/>
  <c r="K29" i="5"/>
  <c r="J33" i="5"/>
  <c r="J29" i="5"/>
  <c r="G36" i="2" l="1"/>
  <c r="B10" i="4" l="1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9" i="4"/>
  <c r="AS21" i="1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AT10" i="1"/>
  <c r="AT23" i="1"/>
  <c r="AS36" i="1"/>
  <c r="I10" i="5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AV44" i="1"/>
  <c r="AV47" i="1"/>
  <c r="AT44" i="1"/>
  <c r="AT47" i="1"/>
  <c r="AV43" i="1"/>
  <c r="AV45" i="1" s="1"/>
  <c r="AV46" i="1" s="1"/>
  <c r="AV38" i="1"/>
  <c r="AV39" i="1"/>
  <c r="AV40" i="1"/>
  <c r="AT39" i="1"/>
  <c r="AS32" i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F4" i="4"/>
  <c r="F5" i="4"/>
  <c r="F6" i="4"/>
  <c r="F7" i="4"/>
  <c r="F8" i="4"/>
  <c r="F9" i="4"/>
  <c r="F10" i="4"/>
  <c r="F11" i="4"/>
  <c r="F12" i="4"/>
  <c r="F13" i="4"/>
  <c r="AO6" i="1"/>
  <c r="AQ6" i="1" s="1"/>
  <c r="AO7" i="1"/>
  <c r="AP10" i="1"/>
  <c r="AO13" i="1"/>
  <c r="AP23" i="1" s="1"/>
  <c r="AO14" i="1"/>
  <c r="AO21" i="1"/>
  <c r="AQ21" i="1" s="1"/>
  <c r="AO36" i="1"/>
  <c r="AM6" i="1"/>
  <c r="AM7" i="1"/>
  <c r="AN10" i="1"/>
  <c r="AM13" i="1"/>
  <c r="AN23" i="1" s="1"/>
  <c r="AM21" i="1"/>
  <c r="AM36" i="1"/>
  <c r="AQ7" i="1"/>
  <c r="AQ13" i="1"/>
  <c r="AQ14" i="1"/>
  <c r="AQ36" i="1"/>
  <c r="AP39" i="1"/>
  <c r="AQ32" i="1"/>
  <c r="AO32" i="1"/>
  <c r="AM32" i="1"/>
  <c r="AH13" i="1"/>
  <c r="AI44" i="1"/>
  <c r="AI47" i="1" s="1"/>
  <c r="AH7" i="1"/>
  <c r="AH8" i="1"/>
  <c r="AH21" i="1"/>
  <c r="AI23" i="1"/>
  <c r="AH36" i="1"/>
  <c r="AI39" i="1"/>
  <c r="AH32" i="1"/>
  <c r="AJ13" i="1"/>
  <c r="AK23" i="1" s="1"/>
  <c r="AK44" i="1"/>
  <c r="AK47" i="1"/>
  <c r="AJ21" i="1"/>
  <c r="AJ7" i="1"/>
  <c r="AJ8" i="1" s="1"/>
  <c r="AJ36" i="1"/>
  <c r="AJ32" i="1"/>
  <c r="AF7" i="1"/>
  <c r="AF8" i="1" s="1"/>
  <c r="AF21" i="1"/>
  <c r="AF13" i="1"/>
  <c r="AG23" i="1" s="1"/>
  <c r="AF32" i="1"/>
  <c r="G22" i="2"/>
  <c r="G23" i="2"/>
  <c r="G24" i="2"/>
  <c r="G23" i="3"/>
  <c r="AF36" i="1"/>
  <c r="AB7" i="1"/>
  <c r="AC8" i="1" s="1"/>
  <c r="AC23" i="1" s="1"/>
  <c r="AB11" i="1"/>
  <c r="AB13" i="1"/>
  <c r="Z11" i="1"/>
  <c r="Z13" i="1"/>
  <c r="AA21" i="1" s="1"/>
  <c r="AB34" i="1"/>
  <c r="AB30" i="1"/>
  <c r="AC21" i="1"/>
  <c r="Z6" i="1"/>
  <c r="Z34" i="1"/>
  <c r="Z30" i="1"/>
  <c r="J25" i="2"/>
  <c r="L2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5" i="2"/>
  <c r="K25" i="2"/>
  <c r="X5" i="1"/>
  <c r="X34" i="1"/>
  <c r="X30" i="1"/>
  <c r="Y21" i="1"/>
  <c r="B44" i="2"/>
  <c r="B38" i="2"/>
  <c r="B39" i="2"/>
  <c r="B40" i="2"/>
  <c r="B41" i="2"/>
  <c r="B42" i="2"/>
  <c r="B43" i="2"/>
  <c r="B31" i="2"/>
  <c r="B32" i="2"/>
  <c r="B33" i="2"/>
  <c r="B34" i="2"/>
  <c r="B35" i="2"/>
  <c r="B36" i="2"/>
  <c r="B30" i="2"/>
  <c r="B37" i="2"/>
  <c r="T7" i="1"/>
  <c r="T11" i="1"/>
  <c r="R12" i="1"/>
  <c r="T12" i="1"/>
  <c r="R14" i="1"/>
  <c r="T14" i="1" s="1"/>
  <c r="U21" i="1" s="1"/>
  <c r="W21" i="1"/>
  <c r="V34" i="1"/>
  <c r="V30" i="1"/>
  <c r="T34" i="1"/>
  <c r="T30" i="1"/>
  <c r="R34" i="1"/>
  <c r="R30" i="1"/>
  <c r="J10" i="3"/>
  <c r="I13" i="4"/>
  <c r="K13" i="4"/>
  <c r="N34" i="1"/>
  <c r="N30" i="1"/>
  <c r="O14" i="1"/>
  <c r="L23" i="1"/>
  <c r="K36" i="1"/>
  <c r="K32" i="1"/>
  <c r="H36" i="1"/>
  <c r="H32" i="1"/>
  <c r="I23" i="1"/>
  <c r="E36" i="1"/>
  <c r="E32" i="1"/>
  <c r="D26" i="2"/>
  <c r="F23" i="1"/>
  <c r="E5" i="1"/>
  <c r="B32" i="1"/>
  <c r="B36" i="1"/>
  <c r="C23" i="1"/>
  <c r="C10" i="1"/>
  <c r="C25" i="1"/>
  <c r="C30" i="1" s="1"/>
  <c r="E6" i="1"/>
  <c r="F10" i="1" s="1"/>
  <c r="F25" i="1" s="1"/>
  <c r="H6" i="1"/>
  <c r="K6" i="1"/>
  <c r="L10" i="1" s="1"/>
  <c r="L25" i="1" s="1"/>
  <c r="I10" i="1"/>
  <c r="I25" i="1" s="1"/>
  <c r="N6" i="1"/>
  <c r="R6" i="1"/>
  <c r="T6" i="1" s="1"/>
  <c r="U8" i="1" s="1"/>
  <c r="V6" i="1"/>
  <c r="X6" i="1"/>
  <c r="Y8" i="1" s="1"/>
  <c r="Y23" i="1" s="1"/>
  <c r="W8" i="1"/>
  <c r="W23" i="1" s="1"/>
  <c r="S8" i="1"/>
  <c r="AA8" i="1"/>
  <c r="AA23" i="1" s="1"/>
  <c r="AF6" i="1"/>
  <c r="AG10" i="1" s="1"/>
  <c r="AG25" i="1" s="1"/>
  <c r="AJ6" i="1"/>
  <c r="AK39" i="1" s="1"/>
  <c r="G24" i="3"/>
  <c r="AH6" i="1"/>
  <c r="F14" i="4"/>
  <c r="F34" i="2"/>
  <c r="F15" i="4"/>
  <c r="F16" i="4"/>
  <c r="F17" i="4"/>
  <c r="F18" i="4"/>
  <c r="F19" i="4"/>
  <c r="F20" i="4"/>
  <c r="F21" i="4"/>
  <c r="F22" i="4"/>
  <c r="F23" i="4"/>
  <c r="O8" i="1" l="1"/>
  <c r="O22" i="1" s="1"/>
  <c r="O32" i="1" s="1"/>
  <c r="AK10" i="1"/>
  <c r="AI10" i="1"/>
  <c r="AI25" i="1" s="1"/>
  <c r="AC34" i="1"/>
  <c r="AB36" i="1" s="1"/>
  <c r="AC32" i="1"/>
  <c r="AC28" i="1"/>
  <c r="AC30" i="1"/>
  <c r="AC33" i="1"/>
  <c r="AC29" i="1"/>
  <c r="AR23" i="1"/>
  <c r="I35" i="1"/>
  <c r="I34" i="1"/>
  <c r="I31" i="1"/>
  <c r="I32" i="1"/>
  <c r="I36" i="1"/>
  <c r="I30" i="1"/>
  <c r="AA29" i="1"/>
  <c r="AA30" i="1"/>
  <c r="AA33" i="1"/>
  <c r="AA32" i="1"/>
  <c r="AA34" i="1"/>
  <c r="AA28" i="1"/>
  <c r="AK25" i="1"/>
  <c r="AG34" i="1"/>
  <c r="AG32" i="1"/>
  <c r="AG35" i="1"/>
  <c r="AG30" i="1"/>
  <c r="AG36" i="1"/>
  <c r="AG31" i="1"/>
  <c r="S23" i="1"/>
  <c r="F31" i="1"/>
  <c r="F34" i="1"/>
  <c r="F30" i="1"/>
  <c r="F35" i="1"/>
  <c r="F32" i="1"/>
  <c r="F36" i="1"/>
  <c r="Y32" i="1"/>
  <c r="Y33" i="1"/>
  <c r="Y34" i="1"/>
  <c r="Y28" i="1"/>
  <c r="Y30" i="1"/>
  <c r="Y29" i="1"/>
  <c r="L32" i="1"/>
  <c r="L35" i="1"/>
  <c r="L31" i="1"/>
  <c r="L34" i="1"/>
  <c r="L36" i="1"/>
  <c r="L30" i="1"/>
  <c r="AI36" i="1"/>
  <c r="AI35" i="1"/>
  <c r="AI34" i="1"/>
  <c r="AI31" i="1"/>
  <c r="AI30" i="1"/>
  <c r="AI32" i="1"/>
  <c r="AR10" i="1"/>
  <c r="AR25" i="1" s="1"/>
  <c r="AR39" i="1"/>
  <c r="W33" i="1"/>
  <c r="W32" i="1"/>
  <c r="W30" i="1"/>
  <c r="W29" i="1"/>
  <c r="W28" i="1"/>
  <c r="W34" i="1"/>
  <c r="U23" i="1"/>
  <c r="S21" i="1"/>
  <c r="C35" i="1"/>
  <c r="J35" i="5"/>
  <c r="K35" i="5"/>
  <c r="AN25" i="1"/>
  <c r="AN34" i="1" s="1"/>
  <c r="AP25" i="1"/>
  <c r="AP30" i="1" s="1"/>
  <c r="C31" i="1"/>
  <c r="C36" i="1"/>
  <c r="C32" i="1"/>
  <c r="AP44" i="1"/>
  <c r="AP47" i="1" s="1"/>
  <c r="C34" i="1"/>
  <c r="AR44" i="1"/>
  <c r="AR47" i="1" s="1"/>
  <c r="I13" i="5"/>
  <c r="AN30" i="1"/>
  <c r="AN31" i="1"/>
  <c r="AR35" i="1"/>
  <c r="AR36" i="1"/>
  <c r="AR30" i="1"/>
  <c r="AR32" i="1"/>
  <c r="AR34" i="1"/>
  <c r="AR31" i="1"/>
  <c r="AP31" i="1"/>
  <c r="AP34" i="1"/>
  <c r="AT25" i="1"/>
  <c r="AT36" i="1" s="1"/>
  <c r="C15" i="5" s="1"/>
  <c r="O29" i="1" l="1"/>
  <c r="D24" i="5"/>
  <c r="E24" i="5"/>
  <c r="C17" i="5"/>
  <c r="C30" i="5" s="1"/>
  <c r="O28" i="1"/>
  <c r="O34" i="1"/>
  <c r="O33" i="1"/>
  <c r="O30" i="1"/>
  <c r="V36" i="1"/>
  <c r="Z36" i="1"/>
  <c r="F38" i="1"/>
  <c r="AF38" i="1"/>
  <c r="AP32" i="1"/>
  <c r="AP36" i="1"/>
  <c r="AN32" i="1"/>
  <c r="AN36" i="1"/>
  <c r="AP35" i="1"/>
  <c r="AN35" i="1"/>
  <c r="AI43" i="1"/>
  <c r="AI45" i="1" s="1"/>
  <c r="AI46" i="1" s="1"/>
  <c r="AI38" i="1"/>
  <c r="AI40" i="1" s="1"/>
  <c r="C38" i="1"/>
  <c r="U32" i="1"/>
  <c r="U29" i="1"/>
  <c r="U30" i="1"/>
  <c r="U28" i="1"/>
  <c r="U33" i="1"/>
  <c r="U34" i="1"/>
  <c r="T36" i="1" s="1"/>
  <c r="L38" i="1"/>
  <c r="X36" i="1"/>
  <c r="AK35" i="1"/>
  <c r="AK30" i="1"/>
  <c r="AK32" i="1"/>
  <c r="AK36" i="1"/>
  <c r="AK31" i="1"/>
  <c r="AK34" i="1"/>
  <c r="I38" i="1"/>
  <c r="S29" i="1"/>
  <c r="S28" i="1"/>
  <c r="S33" i="1"/>
  <c r="S34" i="1"/>
  <c r="S32" i="1"/>
  <c r="S30" i="1"/>
  <c r="AR38" i="1"/>
  <c r="AR40" i="1" s="1"/>
  <c r="AR43" i="1"/>
  <c r="AR45" i="1" s="1"/>
  <c r="AR46" i="1" s="1"/>
  <c r="AP43" i="1"/>
  <c r="AP45" i="1" s="1"/>
  <c r="AP46" i="1" s="1"/>
  <c r="AP38" i="1"/>
  <c r="AP40" i="1" s="1"/>
  <c r="AT31" i="1"/>
  <c r="AT32" i="1"/>
  <c r="AT35" i="1"/>
  <c r="AT34" i="1"/>
  <c r="AT30" i="1"/>
  <c r="AT38" i="1"/>
  <c r="AT40" i="1" s="1"/>
  <c r="AT43" i="1"/>
  <c r="AT45" i="1" s="1"/>
  <c r="AT46" i="1" s="1"/>
  <c r="D30" i="5" l="1"/>
  <c r="D37" i="5" s="1"/>
  <c r="C37" i="5"/>
  <c r="E30" i="5"/>
  <c r="E37" i="5" s="1"/>
  <c r="C24" i="5"/>
  <c r="AM38" i="1"/>
  <c r="N36" i="1"/>
  <c r="AK38" i="1"/>
  <c r="AK40" i="1" s="1"/>
  <c r="AK43" i="1"/>
  <c r="AK45" i="1" s="1"/>
  <c r="AK46" i="1" s="1"/>
  <c r="R36" i="1"/>
  <c r="I17" i="5"/>
  <c r="I30" i="5" s="1"/>
  <c r="I37" i="5" s="1"/>
  <c r="K24" i="5"/>
  <c r="J24" i="5"/>
  <c r="J30" i="5" l="1"/>
  <c r="J37" i="5" s="1"/>
  <c r="K30" i="5"/>
  <c r="K37" i="5" s="1"/>
  <c r="I24" i="5"/>
</calcChain>
</file>

<file path=xl/sharedStrings.xml><?xml version="1.0" encoding="utf-8"?>
<sst xmlns="http://schemas.openxmlformats.org/spreadsheetml/2006/main" count="269" uniqueCount="93">
  <si>
    <t>Pension Value:</t>
  </si>
  <si>
    <t>Assets</t>
  </si>
  <si>
    <t xml:space="preserve">Property: </t>
  </si>
  <si>
    <t>Other Assets</t>
  </si>
  <si>
    <t>Cash in Bank</t>
  </si>
  <si>
    <t>Total Assets</t>
  </si>
  <si>
    <t xml:space="preserve">Liabilities </t>
  </si>
  <si>
    <t xml:space="preserve">Handlesbanken </t>
  </si>
  <si>
    <t>Pension Fund Value</t>
  </si>
  <si>
    <t>Total Liabilities</t>
  </si>
  <si>
    <t>Scheme Members Breakdown</t>
  </si>
  <si>
    <t>Dom Threlfall</t>
  </si>
  <si>
    <t>Tracy Threlfall</t>
  </si>
  <si>
    <t>Mike Brunsdon</t>
  </si>
  <si>
    <t>Emma Brunsdon</t>
  </si>
  <si>
    <t>Threlfall's</t>
  </si>
  <si>
    <t>Brunsdon's</t>
  </si>
  <si>
    <t>Payment No.</t>
  </si>
  <si>
    <t>Payment</t>
  </si>
  <si>
    <t>Date</t>
  </si>
  <si>
    <t xml:space="preserve"> Payment </t>
  </si>
  <si>
    <t xml:space="preserve"> Principal </t>
  </si>
  <si>
    <t xml:space="preserve"> Interest </t>
  </si>
  <si>
    <t>Advance</t>
  </si>
  <si>
    <t>Outstanding loan</t>
  </si>
  <si>
    <t>Total Fund value</t>
  </si>
  <si>
    <t xml:space="preserve">Loan </t>
  </si>
  <si>
    <t>Totals</t>
  </si>
  <si>
    <t>Outstanding</t>
  </si>
  <si>
    <t>David Allberry</t>
  </si>
  <si>
    <t>DCT valuation</t>
  </si>
  <si>
    <t>Expenses O/s Allberry/Griffiths</t>
  </si>
  <si>
    <t>Loan Interest accrual (approx)</t>
  </si>
  <si>
    <t>Draft</t>
  </si>
  <si>
    <t>???</t>
  </si>
  <si>
    <t>Advance rental receipt</t>
  </si>
  <si>
    <t>David Allberry valuation</t>
  </si>
  <si>
    <t>Other Assets - Loan to Pebley</t>
  </si>
  <si>
    <t>Loan Interest accrual approx</t>
  </si>
  <si>
    <t>Capital</t>
  </si>
  <si>
    <t>Interest</t>
  </si>
  <si>
    <t>Total outstanding as at</t>
  </si>
  <si>
    <t>Cash in Bank - Threlfall</t>
  </si>
  <si>
    <t>- Brunsdon</t>
  </si>
  <si>
    <t>Loan notes  allowed</t>
  </si>
  <si>
    <t>Current loan notes</t>
  </si>
  <si>
    <t>Spare capacity</t>
  </si>
  <si>
    <t>Borrowings allowed</t>
  </si>
  <si>
    <t>Current Borrowings</t>
  </si>
  <si>
    <t>Borrowing spare</t>
  </si>
  <si>
    <t>% of buildings</t>
  </si>
  <si>
    <t>65% of buildings</t>
  </si>
  <si>
    <t xml:space="preserve">Property worth </t>
  </si>
  <si>
    <t>Cash balance - in Pension fund a/c</t>
  </si>
  <si>
    <t>Handelsbanken Mortgage</t>
  </si>
  <si>
    <t>New Cash balance</t>
  </si>
  <si>
    <t>30/4/16 provisional</t>
  </si>
  <si>
    <t>Property Transfer - Ssas</t>
  </si>
  <si>
    <t>Handelsbank Mortgage</t>
  </si>
  <si>
    <t>Repayments</t>
  </si>
  <si>
    <t>Pension Practioner - split up £1k + vat per family</t>
  </si>
  <si>
    <t>Loan notes to generate cash for transfer</t>
  </si>
  <si>
    <t>Handlesbanken charges</t>
  </si>
  <si>
    <t>Handlesbanken current mortgage</t>
  </si>
  <si>
    <t>Loan Interest accrual</t>
  </si>
  <si>
    <t>Security fee</t>
  </si>
  <si>
    <t>New Mortgage</t>
  </si>
  <si>
    <t>If not charged for Threlfall's</t>
  </si>
  <si>
    <t>Notified 15th Oct of this quarter charge (based around libor)</t>
  </si>
  <si>
    <t>Other expenses due</t>
  </si>
  <si>
    <t>Paid</t>
  </si>
  <si>
    <t>Threlfall's Value</t>
  </si>
  <si>
    <t>Dom</t>
  </si>
  <si>
    <t>Tracy</t>
  </si>
  <si>
    <t>- Property</t>
  </si>
  <si>
    <t>- Cash Balance</t>
  </si>
  <si>
    <t>Liabilities</t>
  </si>
  <si>
    <t>- Remortgage</t>
  </si>
  <si>
    <t>- Loan interest</t>
  </si>
  <si>
    <t>Brunsdons</t>
  </si>
  <si>
    <t>2017 Qtr 1 - advance rental - due 24/12/16</t>
  </si>
  <si>
    <t>Including £14,375 Advance rental for Dec 16</t>
  </si>
  <si>
    <t>- Advanced rental accrual Nov - Dec</t>
  </si>
  <si>
    <t>- Advanced rental accrual Dec -Mar</t>
  </si>
  <si>
    <t>Cash Balance after Mortgage paid off</t>
  </si>
  <si>
    <t>Remortgage DT &amp; TT</t>
  </si>
  <si>
    <t>Finalised Cash Balance</t>
  </si>
  <si>
    <t>Asset Split</t>
  </si>
  <si>
    <t>Pension Practioners etc</t>
  </si>
  <si>
    <t>Days since</t>
  </si>
  <si>
    <t>Libor loan break</t>
  </si>
  <si>
    <t>Cash payout to Brunsdons</t>
  </si>
  <si>
    <t>- Loan interest + break penalty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</si>
</sst>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_-* #,##0_-;\-* #,##0_-;_-* &quot;-&quot;??_-;_-@_-"/>
    <numFmt numFmtId="166" formatCode="#,##0.00_ ;\-#,##0.00\ "/>
  </numFmts>
  <fonts count="19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sz val="11"/>
      <color rgb="FF9C6500"/>
      <name val="Calibri"/>
      <family val="2"/>
      <scheme val="minor"/>
    </font>
    <font>
      <b/>
      <sz val="10"/>
      <color rgb="FFFFFFFF"/>
      <name val="Tahoma"/>
      <family val="2"/>
    </font>
    <font>
      <b/>
      <sz val="10"/>
      <color rgb="FFCCFFFF"/>
      <name val="Tahoma"/>
      <family val="2"/>
    </font>
    <font>
      <sz val="10"/>
      <color rgb="FF000000"/>
      <name val="Tahoma"/>
      <family val="2"/>
    </font>
    <font>
      <sz val="11"/>
      <color rgb="FF000000"/>
      <name val="Calibri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33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33CCCC"/>
      </right>
      <top style="medium">
        <color rgb="FF33CCCC"/>
      </top>
      <bottom/>
      <diagonal/>
    </border>
    <border>
      <left/>
      <right style="medium">
        <color rgb="FF33CCCC"/>
      </right>
      <top/>
      <bottom/>
      <diagonal/>
    </border>
    <border>
      <left style="medium">
        <color rgb="FF33CCCC"/>
      </left>
      <right/>
      <top/>
      <bottom style="medium">
        <color rgb="FF33CCCC"/>
      </bottom>
      <diagonal/>
    </border>
    <border>
      <left/>
      <right/>
      <top/>
      <bottom style="medium">
        <color rgb="FF33CCCC"/>
      </bottom>
      <diagonal/>
    </border>
    <border>
      <left style="medium">
        <color rgb="FF33CCCC"/>
      </left>
      <right style="medium">
        <color rgb="FF33CCCC"/>
      </right>
      <top/>
      <bottom/>
      <diagonal/>
    </border>
    <border>
      <left style="medium">
        <color rgb="FF33CCCC"/>
      </left>
      <right style="medium">
        <color rgb="FF33CCCC"/>
      </right>
      <top/>
      <bottom style="medium">
        <color rgb="FF33CCCC"/>
      </bottom>
      <diagonal/>
    </border>
    <border>
      <left/>
      <right style="medium">
        <color rgb="FF33CCCC"/>
      </right>
      <top/>
      <bottom style="medium">
        <color rgb="FF33CCCC"/>
      </bottom>
      <diagonal/>
    </border>
    <border>
      <left style="medium">
        <color rgb="FF33CCCC"/>
      </left>
      <right style="medium">
        <color rgb="FF33CCCC"/>
      </right>
      <top style="medium">
        <color rgb="FF33CCCC"/>
      </top>
      <bottom/>
      <diagonal/>
    </border>
    <border>
      <left style="medium">
        <color rgb="FF33CCCC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2" borderId="0" applyNumberFormat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4" fillId="0" borderId="0" xfId="0" applyFont="1"/>
    <xf numFmtId="8" fontId="0" fillId="0" borderId="0" xfId="0" applyNumberFormat="1"/>
    <xf numFmtId="8" fontId="2" fillId="0" borderId="0" xfId="0" applyNumberFormat="1" applyFont="1"/>
    <xf numFmtId="8" fontId="5" fillId="0" borderId="0" xfId="0" applyNumberFormat="1" applyFont="1"/>
    <xf numFmtId="8" fontId="3" fillId="0" borderId="0" xfId="0" applyNumberFormat="1" applyFont="1"/>
    <xf numFmtId="10" fontId="2" fillId="0" borderId="0" xfId="4" applyNumberFormat="1" applyFont="1"/>
    <xf numFmtId="10" fontId="3" fillId="0" borderId="0" xfId="4" applyNumberFormat="1" applyFont="1"/>
    <xf numFmtId="0" fontId="11" fillId="3" borderId="5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15" fontId="12" fillId="4" borderId="8" xfId="0" applyNumberFormat="1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/>
    </xf>
    <xf numFmtId="15" fontId="7" fillId="5" borderId="6" xfId="0" applyNumberFormat="1" applyFont="1" applyFill="1" applyBorder="1" applyAlignment="1">
      <alignment vertical="center"/>
    </xf>
    <xf numFmtId="8" fontId="7" fillId="5" borderId="0" xfId="0" applyNumberFormat="1" applyFont="1" applyFill="1" applyAlignment="1">
      <alignment vertical="center"/>
    </xf>
    <xf numFmtId="8" fontId="7" fillId="5" borderId="9" xfId="0" applyNumberFormat="1" applyFont="1" applyFill="1" applyBorder="1" applyAlignment="1">
      <alignment vertical="center"/>
    </xf>
    <xf numFmtId="8" fontId="7" fillId="5" borderId="6" xfId="0" applyNumberFormat="1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15" fontId="7" fillId="5" borderId="11" xfId="0" applyNumberFormat="1" applyFont="1" applyFill="1" applyBorder="1" applyAlignment="1">
      <alignment vertical="center"/>
    </xf>
    <xf numFmtId="8" fontId="7" fillId="5" borderId="8" xfId="0" applyNumberFormat="1" applyFont="1" applyFill="1" applyBorder="1" applyAlignment="1">
      <alignment vertical="center"/>
    </xf>
    <xf numFmtId="8" fontId="7" fillId="5" borderId="10" xfId="0" applyNumberFormat="1" applyFont="1" applyFill="1" applyBorder="1" applyAlignment="1">
      <alignment vertical="center"/>
    </xf>
    <xf numFmtId="8" fontId="7" fillId="5" borderId="11" xfId="0" applyNumberFormat="1" applyFont="1" applyFill="1" applyBorder="1" applyAlignment="1">
      <alignment vertical="center"/>
    </xf>
    <xf numFmtId="0" fontId="11" fillId="3" borderId="12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vertical="center" wrapText="1"/>
    </xf>
    <xf numFmtId="15" fontId="9" fillId="4" borderId="0" xfId="0" applyNumberFormat="1" applyFont="1" applyFill="1" applyBorder="1" applyAlignment="1">
      <alignment vertical="center" wrapText="1"/>
    </xf>
    <xf numFmtId="0" fontId="8" fillId="0" borderId="0" xfId="0" applyFont="1"/>
    <xf numFmtId="0" fontId="11" fillId="3" borderId="13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3" fillId="0" borderId="0" xfId="0" applyFont="1"/>
    <xf numFmtId="0" fontId="10" fillId="2" borderId="0" xfId="3" applyAlignment="1">
      <alignment horizontal="center"/>
    </xf>
    <xf numFmtId="0" fontId="11" fillId="3" borderId="5" xfId="0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right" vertical="center" wrapText="1"/>
    </xf>
    <xf numFmtId="0" fontId="13" fillId="5" borderId="9" xfId="0" applyFont="1" applyFill="1" applyBorder="1" applyAlignment="1">
      <alignment horizontal="right" vertical="center"/>
    </xf>
    <xf numFmtId="15" fontId="13" fillId="5" borderId="6" xfId="0" applyNumberFormat="1" applyFont="1" applyFill="1" applyBorder="1" applyAlignment="1">
      <alignment horizontal="right" vertical="center"/>
    </xf>
    <xf numFmtId="8" fontId="13" fillId="5" borderId="0" xfId="0" applyNumberFormat="1" applyFont="1" applyFill="1" applyAlignment="1">
      <alignment horizontal="right" vertical="center"/>
    </xf>
    <xf numFmtId="8" fontId="13" fillId="5" borderId="9" xfId="0" applyNumberFormat="1" applyFont="1" applyFill="1" applyBorder="1" applyAlignment="1">
      <alignment horizontal="right" vertical="center"/>
    </xf>
    <xf numFmtId="8" fontId="13" fillId="5" borderId="6" xfId="0" applyNumberFormat="1" applyFont="1" applyFill="1" applyBorder="1" applyAlignment="1">
      <alignment horizontal="right" vertical="center"/>
    </xf>
    <xf numFmtId="0" fontId="13" fillId="5" borderId="10" xfId="0" applyFont="1" applyFill="1" applyBorder="1" applyAlignment="1">
      <alignment horizontal="right" vertical="center"/>
    </xf>
    <xf numFmtId="8" fontId="13" fillId="5" borderId="8" xfId="0" applyNumberFormat="1" applyFont="1" applyFill="1" applyBorder="1" applyAlignment="1">
      <alignment horizontal="right" vertical="center"/>
    </xf>
    <xf numFmtId="8" fontId="13" fillId="5" borderId="10" xfId="0" applyNumberFormat="1" applyFont="1" applyFill="1" applyBorder="1" applyAlignment="1">
      <alignment horizontal="right" vertical="center"/>
    </xf>
    <xf numFmtId="8" fontId="13" fillId="5" borderId="1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8" fontId="14" fillId="0" borderId="0" xfId="0" applyNumberFormat="1" applyFont="1" applyAlignment="1">
      <alignment horizontal="right" vertical="center"/>
    </xf>
    <xf numFmtId="0" fontId="6" fillId="0" borderId="0" xfId="0" applyFont="1"/>
    <xf numFmtId="43" fontId="9" fillId="4" borderId="8" xfId="1" applyFont="1" applyFill="1" applyBorder="1" applyAlignment="1">
      <alignment vertical="center" wrapText="1"/>
    </xf>
    <xf numFmtId="43" fontId="0" fillId="0" borderId="1" xfId="1" applyFont="1" applyBorder="1"/>
    <xf numFmtId="44" fontId="0" fillId="0" borderId="0" xfId="2" applyFont="1"/>
    <xf numFmtId="44" fontId="0" fillId="0" borderId="0" xfId="0" applyNumberFormat="1"/>
    <xf numFmtId="0" fontId="10" fillId="2" borderId="0" xfId="3" applyAlignment="1">
      <alignment horizontal="center"/>
    </xf>
    <xf numFmtId="17" fontId="10" fillId="2" borderId="0" xfId="3" applyNumberFormat="1" applyAlignment="1">
      <alignment horizontal="center"/>
    </xf>
    <xf numFmtId="14" fontId="10" fillId="2" borderId="0" xfId="3" applyNumberFormat="1" applyAlignment="1">
      <alignment horizontal="center"/>
    </xf>
    <xf numFmtId="44" fontId="0" fillId="0" borderId="1" xfId="2" applyFont="1" applyBorder="1"/>
    <xf numFmtId="44" fontId="2" fillId="0" borderId="0" xfId="2" applyFont="1"/>
    <xf numFmtId="44" fontId="5" fillId="0" borderId="0" xfId="2" applyFont="1"/>
    <xf numFmtId="0" fontId="10" fillId="2" borderId="0" xfId="3" applyAlignment="1">
      <alignment horizontal="center"/>
    </xf>
    <xf numFmtId="8" fontId="0" fillId="0" borderId="0" xfId="2" applyNumberFormat="1" applyFont="1"/>
    <xf numFmtId="8" fontId="0" fillId="0" borderId="1" xfId="2" applyNumberFormat="1" applyFont="1" applyBorder="1"/>
    <xf numFmtId="0" fontId="0" fillId="0" borderId="2" xfId="0" applyBorder="1"/>
    <xf numFmtId="44" fontId="0" fillId="0" borderId="2" xfId="2" applyFont="1" applyBorder="1"/>
    <xf numFmtId="8" fontId="0" fillId="0" borderId="2" xfId="2" applyNumberFormat="1" applyFont="1" applyBorder="1"/>
    <xf numFmtId="44" fontId="2" fillId="0" borderId="2" xfId="2" applyFont="1" applyBorder="1"/>
    <xf numFmtId="10" fontId="2" fillId="0" borderId="2" xfId="4" applyNumberFormat="1" applyFont="1" applyBorder="1"/>
    <xf numFmtId="10" fontId="3" fillId="0" borderId="2" xfId="4" applyNumberFormat="1" applyFont="1" applyBorder="1"/>
    <xf numFmtId="8" fontId="0" fillId="0" borderId="2" xfId="0" applyNumberFormat="1" applyBorder="1"/>
    <xf numFmtId="8" fontId="0" fillId="0" borderId="3" xfId="2" applyNumberFormat="1" applyFont="1" applyBorder="1"/>
    <xf numFmtId="8" fontId="2" fillId="0" borderId="0" xfId="2" applyNumberFormat="1" applyFont="1"/>
    <xf numFmtId="0" fontId="0" fillId="0" borderId="0" xfId="0" applyAlignment="1">
      <alignment horizontal="right"/>
    </xf>
    <xf numFmtId="8" fontId="0" fillId="6" borderId="0" xfId="0" applyNumberFormat="1" applyFill="1"/>
    <xf numFmtId="15" fontId="0" fillId="0" borderId="0" xfId="0" applyNumberFormat="1"/>
    <xf numFmtId="44" fontId="0" fillId="0" borderId="14" xfId="2" applyFont="1" applyBorder="1"/>
    <xf numFmtId="14" fontId="10" fillId="2" borderId="0" xfId="3" applyNumberFormat="1" applyBorder="1" applyAlignment="1">
      <alignment horizontal="center"/>
    </xf>
    <xf numFmtId="44" fontId="0" fillId="0" borderId="0" xfId="2" applyFont="1" applyBorder="1"/>
    <xf numFmtId="8" fontId="0" fillId="0" borderId="0" xfId="0" applyNumberFormat="1" applyAlignment="1">
      <alignment horizontal="right"/>
    </xf>
    <xf numFmtId="164" fontId="0" fillId="0" borderId="0" xfId="2" applyNumberFormat="1" applyFont="1"/>
    <xf numFmtId="0" fontId="0" fillId="0" borderId="0" xfId="0" quotePrefix="1" applyAlignment="1">
      <alignment horizontal="right"/>
    </xf>
    <xf numFmtId="165" fontId="0" fillId="0" borderId="0" xfId="1" applyNumberFormat="1" applyFont="1" applyAlignment="1">
      <alignment horizontal="right"/>
    </xf>
    <xf numFmtId="43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9" fontId="0" fillId="0" borderId="0" xfId="4" applyFont="1"/>
    <xf numFmtId="165" fontId="0" fillId="0" borderId="0" xfId="1" applyNumberFormat="1" applyFont="1"/>
    <xf numFmtId="17" fontId="0" fillId="0" borderId="0" xfId="0" applyNumberFormat="1"/>
    <xf numFmtId="14" fontId="0" fillId="0" borderId="0" xfId="0" applyNumberFormat="1"/>
    <xf numFmtId="8" fontId="0" fillId="0" borderId="0" xfId="2" applyNumberFormat="1" applyFont="1" applyBorder="1"/>
    <xf numFmtId="8" fontId="1" fillId="0" borderId="2" xfId="2" applyNumberFormat="1" applyFont="1" applyBorder="1"/>
    <xf numFmtId="43" fontId="0" fillId="0" borderId="0" xfId="1" applyFont="1"/>
    <xf numFmtId="0" fontId="1" fillId="0" borderId="0" xfId="0" applyFont="1"/>
    <xf numFmtId="8" fontId="0" fillId="0" borderId="0" xfId="1" applyNumberFormat="1" applyFont="1"/>
    <xf numFmtId="8" fontId="2" fillId="0" borderId="0" xfId="0" applyNumberFormat="1" applyFont="1" applyBorder="1"/>
    <xf numFmtId="10" fontId="2" fillId="0" borderId="0" xfId="4" applyNumberFormat="1" applyFont="1" applyBorder="1"/>
    <xf numFmtId="8" fontId="3" fillId="0" borderId="0" xfId="0" applyNumberFormat="1" applyFont="1" applyBorder="1"/>
    <xf numFmtId="10" fontId="3" fillId="0" borderId="0" xfId="4" applyNumberFormat="1" applyFont="1" applyBorder="1"/>
    <xf numFmtId="0" fontId="0" fillId="0" borderId="0" xfId="0" applyBorder="1"/>
    <xf numFmtId="0" fontId="17" fillId="0" borderId="0" xfId="0" applyFont="1"/>
    <xf numFmtId="8" fontId="5" fillId="0" borderId="0" xfId="0" applyNumberFormat="1" applyFont="1" applyBorder="1"/>
    <xf numFmtId="0" fontId="2" fillId="0" borderId="0" xfId="0" applyFont="1" applyAlignment="1">
      <alignment horizontal="center"/>
    </xf>
    <xf numFmtId="14" fontId="10" fillId="0" borderId="0" xfId="3" applyNumberFormat="1" applyFill="1" applyBorder="1" applyAlignment="1">
      <alignment horizontal="center"/>
    </xf>
    <xf numFmtId="10" fontId="2" fillId="0" borderId="0" xfId="4" applyNumberFormat="1" applyFont="1" applyBorder="1" applyAlignment="1">
      <alignment horizontal="center"/>
    </xf>
    <xf numFmtId="8" fontId="2" fillId="0" borderId="15" xfId="0" applyNumberFormat="1" applyFont="1" applyBorder="1"/>
    <xf numFmtId="10" fontId="2" fillId="0" borderId="16" xfId="4" applyNumberFormat="1" applyFont="1" applyBorder="1"/>
    <xf numFmtId="165" fontId="17" fillId="0" borderId="16" xfId="1" applyNumberFormat="1" applyFont="1" applyBorder="1" applyAlignment="1">
      <alignment horizontal="center"/>
    </xf>
    <xf numFmtId="8" fontId="3" fillId="0" borderId="16" xfId="0" applyNumberFormat="1" applyFont="1" applyBorder="1" applyAlignment="1">
      <alignment horizontal="center"/>
    </xf>
    <xf numFmtId="8" fontId="3" fillId="0" borderId="17" xfId="0" applyNumberFormat="1" applyFont="1" applyBorder="1" applyAlignment="1">
      <alignment horizontal="center"/>
    </xf>
    <xf numFmtId="9" fontId="0" fillId="0" borderId="0" xfId="4" applyFont="1" applyBorder="1" applyAlignment="1">
      <alignment horizontal="center"/>
    </xf>
    <xf numFmtId="10" fontId="2" fillId="0" borderId="4" xfId="4" applyNumberFormat="1" applyFont="1" applyBorder="1" applyAlignment="1">
      <alignment horizontal="center"/>
    </xf>
    <xf numFmtId="8" fontId="3" fillId="0" borderId="3" xfId="0" applyNumberFormat="1" applyFont="1" applyBorder="1"/>
    <xf numFmtId="10" fontId="2" fillId="0" borderId="1" xfId="4" applyNumberFormat="1" applyFont="1" applyBorder="1"/>
    <xf numFmtId="43" fontId="0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14" xfId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9" fontId="0" fillId="0" borderId="0" xfId="1" applyNumberFormat="1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1" fillId="0" borderId="2" xfId="0" applyFont="1" applyBorder="1"/>
    <xf numFmtId="165" fontId="0" fillId="0" borderId="0" xfId="1" applyNumberFormat="1" applyFont="1" applyBorder="1"/>
    <xf numFmtId="0" fontId="0" fillId="0" borderId="4" xfId="0" applyBorder="1"/>
    <xf numFmtId="0" fontId="1" fillId="0" borderId="2" xfId="0" quotePrefix="1" applyFont="1" applyBorder="1"/>
    <xf numFmtId="44" fontId="0" fillId="0" borderId="4" xfId="2" applyFont="1" applyBorder="1"/>
    <xf numFmtId="0" fontId="17" fillId="0" borderId="3" xfId="0" applyFont="1" applyBorder="1"/>
    <xf numFmtId="0" fontId="17" fillId="0" borderId="1" xfId="0" applyFont="1" applyBorder="1"/>
    <xf numFmtId="44" fontId="17" fillId="0" borderId="1" xfId="2" applyFont="1" applyBorder="1"/>
    <xf numFmtId="44" fontId="17" fillId="0" borderId="14" xfId="2" applyFont="1" applyBorder="1"/>
    <xf numFmtId="22" fontId="0" fillId="0" borderId="0" xfId="2" applyNumberFormat="1" applyFont="1"/>
    <xf numFmtId="166" fontId="0" fillId="0" borderId="0" xfId="2" applyNumberFormat="1" applyFont="1"/>
    <xf numFmtId="14" fontId="18" fillId="7" borderId="0" xfId="7" applyNumberFormat="1" applyAlignment="1">
      <alignment horizontal="left"/>
    </xf>
    <xf numFmtId="8" fontId="3" fillId="0" borderId="0" xfId="0" applyNumberFormat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17" fillId="0" borderId="0" xfId="2" applyFont="1" applyBorder="1"/>
    <xf numFmtId="14" fontId="0" fillId="0" borderId="0" xfId="1" applyNumberFormat="1" applyFont="1"/>
    <xf numFmtId="8" fontId="0" fillId="0" borderId="2" xfId="2" applyNumberFormat="1" applyFont="1" applyBorder="1" applyAlignment="1">
      <alignment horizontal="left" vertical="top" wrapText="1"/>
    </xf>
    <xf numFmtId="8" fontId="0" fillId="0" borderId="0" xfId="2" applyNumberFormat="1" applyFont="1" applyBorder="1" applyAlignment="1">
      <alignment horizontal="left" vertical="top" wrapText="1"/>
    </xf>
    <xf numFmtId="14" fontId="10" fillId="2" borderId="2" xfId="3" applyNumberFormat="1" applyBorder="1" applyAlignment="1">
      <alignment horizontal="center"/>
    </xf>
    <xf numFmtId="14" fontId="10" fillId="2" borderId="0" xfId="3" applyNumberFormat="1" applyBorder="1" applyAlignment="1">
      <alignment horizontal="center"/>
    </xf>
    <xf numFmtId="14" fontId="10" fillId="0" borderId="2" xfId="3" applyNumberFormat="1" applyFill="1" applyBorder="1" applyAlignment="1">
      <alignment horizontal="center"/>
    </xf>
    <xf numFmtId="14" fontId="10" fillId="0" borderId="0" xfId="3" applyNumberFormat="1" applyFill="1" applyBorder="1" applyAlignment="1">
      <alignment horizontal="center"/>
    </xf>
    <xf numFmtId="0" fontId="10" fillId="2" borderId="0" xfId="3" applyAlignment="1">
      <alignment horizontal="center"/>
    </xf>
    <xf numFmtId="14" fontId="10" fillId="2" borderId="0" xfId="3" applyNumberFormat="1" applyAlignment="1">
      <alignment horizontal="center"/>
    </xf>
    <xf numFmtId="14" fontId="10" fillId="2" borderId="4" xfId="3" applyNumberFormat="1" applyBorder="1" applyAlignment="1">
      <alignment horizontal="center"/>
    </xf>
    <xf numFmtId="0" fontId="11" fillId="3" borderId="12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</cellXfs>
  <cellStyles count="8">
    <cellStyle name="Comma" xfId="1" builtinId="3"/>
    <cellStyle name="Currency" xfId="2" builtinId="4"/>
    <cellStyle name="Followed Hyperlink" xfId="5" builtinId="9" hidden="1"/>
    <cellStyle name="Good" xfId="7" builtinId="26"/>
    <cellStyle name="Hyperlink" xfId="6" builtinId="8" hidden="1"/>
    <cellStyle name="Neutral" xfId="3" builtinId="2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BE47"/>
  <sheetViews>
    <sheetView tabSelected="1" view="pageBreakPreview" zoomScaleSheetLayoutView="100" workbookViewId="0">
      <selection activeCell="AP11" sqref="AP11"/>
    </sheetView>
  </sheetViews>
  <sheetFormatPr defaultColWidth="8.85546875" defaultRowHeight="12.75" x14ac:dyDescent="0.2"/>
  <cols>
    <col min="1" max="1" width="27.85546875" customWidth="1"/>
    <col min="2" max="2" width="11.140625" hidden="1" customWidth="1"/>
    <col min="3" max="3" width="12.7109375" hidden="1" customWidth="1"/>
    <col min="4" max="4" width="3.42578125" hidden="1" customWidth="1"/>
    <col min="5" max="5" width="12.28515625" hidden="1" customWidth="1"/>
    <col min="6" max="6" width="12.85546875" hidden="1" customWidth="1"/>
    <col min="7" max="7" width="3.28515625" hidden="1" customWidth="1"/>
    <col min="8" max="9" width="12.85546875" hidden="1" customWidth="1"/>
    <col min="10" max="10" width="2.140625" hidden="1" customWidth="1"/>
    <col min="11" max="12" width="12.85546875" hidden="1" customWidth="1"/>
    <col min="13" max="13" width="1.85546875" hidden="1" customWidth="1"/>
    <col min="14" max="14" width="13.7109375" hidden="1" customWidth="1"/>
    <col min="15" max="15" width="14.28515625" hidden="1" customWidth="1"/>
    <col min="16" max="16" width="1.42578125" hidden="1" customWidth="1"/>
    <col min="17" max="17" width="29" hidden="1" customWidth="1"/>
    <col min="18" max="18" width="12.42578125" hidden="1" customWidth="1"/>
    <col min="19" max="19" width="14.42578125" hidden="1" customWidth="1"/>
    <col min="20" max="21" width="12.42578125" hidden="1" customWidth="1"/>
    <col min="22" max="22" width="13.85546875" hidden="1" customWidth="1"/>
    <col min="23" max="23" width="12.85546875" hidden="1" customWidth="1"/>
    <col min="24" max="27" width="13.85546875" hidden="1" customWidth="1"/>
    <col min="28" max="28" width="11.140625" hidden="1" customWidth="1"/>
    <col min="29" max="30" width="13.85546875" hidden="1" customWidth="1"/>
    <col min="31" max="31" width="27.28515625" hidden="1" customWidth="1"/>
    <col min="32" max="32" width="13.85546875" hidden="1" customWidth="1"/>
    <col min="33" max="37" width="12.7109375" hidden="1" customWidth="1"/>
    <col min="38" max="38" width="38.7109375" customWidth="1"/>
    <col min="39" max="39" width="13.85546875" customWidth="1"/>
    <col min="40" max="43" width="12.7109375" customWidth="1"/>
    <col min="44" max="44" width="16.28515625" customWidth="1"/>
    <col min="45" max="45" width="12.7109375" customWidth="1"/>
    <col min="46" max="46" width="14.7109375" customWidth="1"/>
    <col min="47" max="47" width="12.7109375" customWidth="1"/>
    <col min="48" max="48" width="16.7109375" customWidth="1"/>
    <col min="49" max="49" width="12.7109375" customWidth="1"/>
    <col min="50" max="50" width="44.42578125" bestFit="1" customWidth="1"/>
    <col min="51" max="51" width="22" customWidth="1"/>
    <col min="52" max="52" width="17.28515625" customWidth="1"/>
    <col min="56" max="56" width="10.140625" bestFit="1" customWidth="1"/>
    <col min="57" max="57" width="28.7109375" customWidth="1"/>
  </cols>
  <sheetData>
    <row r="2" spans="1:54" ht="15" x14ac:dyDescent="0.25">
      <c r="A2" s="1" t="s">
        <v>0</v>
      </c>
      <c r="AE2" s="1" t="s">
        <v>0</v>
      </c>
      <c r="AL2" s="1" t="s">
        <v>0</v>
      </c>
      <c r="AX2" s="1" t="s">
        <v>0</v>
      </c>
    </row>
    <row r="3" spans="1:54" ht="15" x14ac:dyDescent="0.25">
      <c r="A3" s="1"/>
      <c r="B3" s="144">
        <v>2012</v>
      </c>
      <c r="C3" s="144"/>
      <c r="E3" s="144">
        <v>2013</v>
      </c>
      <c r="F3" s="144"/>
      <c r="H3" s="144">
        <v>2014</v>
      </c>
      <c r="I3" s="144"/>
      <c r="K3" s="54">
        <v>41883</v>
      </c>
      <c r="L3" s="34"/>
      <c r="N3" s="55">
        <v>42098</v>
      </c>
      <c r="O3" s="53"/>
      <c r="Q3" s="59"/>
      <c r="R3" s="145">
        <v>42047</v>
      </c>
      <c r="S3" s="146"/>
      <c r="T3" s="140">
        <v>42047</v>
      </c>
      <c r="U3" s="141"/>
      <c r="V3" s="140">
        <v>42180</v>
      </c>
      <c r="W3" s="141"/>
      <c r="X3" s="140">
        <v>42180</v>
      </c>
      <c r="Y3" s="141"/>
      <c r="Z3" s="140">
        <v>42277</v>
      </c>
      <c r="AA3" s="141"/>
      <c r="AB3" s="140">
        <v>42303</v>
      </c>
      <c r="AC3" s="141"/>
      <c r="AD3" s="75"/>
      <c r="AE3" s="1"/>
      <c r="AF3" s="140">
        <v>42400</v>
      </c>
      <c r="AG3" s="141"/>
      <c r="AH3" s="140">
        <v>42460</v>
      </c>
      <c r="AI3" s="141"/>
      <c r="AJ3" s="140">
        <v>42460</v>
      </c>
      <c r="AK3" s="141"/>
      <c r="AL3" s="1"/>
      <c r="AM3" s="140">
        <v>42400</v>
      </c>
      <c r="AN3" s="141"/>
      <c r="AO3" s="140" t="s">
        <v>56</v>
      </c>
      <c r="AP3" s="141"/>
      <c r="AQ3" s="140">
        <v>42490</v>
      </c>
      <c r="AR3" s="141"/>
      <c r="AS3" s="140">
        <v>42670</v>
      </c>
      <c r="AT3" s="141"/>
      <c r="AU3" s="142"/>
      <c r="AV3" s="143"/>
      <c r="AW3" s="100"/>
      <c r="AX3" s="1"/>
      <c r="AY3" s="140">
        <v>42679</v>
      </c>
      <c r="AZ3" s="141"/>
      <c r="BB3">
        <f>365/4</f>
        <v>91.25</v>
      </c>
    </row>
    <row r="4" spans="1:54" ht="15" x14ac:dyDescent="0.25">
      <c r="A4" s="1" t="s">
        <v>1</v>
      </c>
      <c r="B4" s="5"/>
      <c r="E4" s="5"/>
      <c r="H4" s="5"/>
      <c r="K4" s="58"/>
      <c r="L4" s="51"/>
      <c r="N4" s="57" t="s">
        <v>33</v>
      </c>
      <c r="O4" s="57"/>
      <c r="P4" s="57"/>
      <c r="Q4" s="1" t="s">
        <v>1</v>
      </c>
      <c r="R4" s="87" t="s">
        <v>29</v>
      </c>
      <c r="S4" s="51"/>
      <c r="T4" s="64" t="s">
        <v>30</v>
      </c>
      <c r="U4" s="51"/>
      <c r="V4" s="64" t="s">
        <v>30</v>
      </c>
      <c r="W4" s="51"/>
      <c r="X4" s="64" t="s">
        <v>36</v>
      </c>
      <c r="Y4" s="51"/>
      <c r="Z4" s="64" t="s">
        <v>30</v>
      </c>
      <c r="AA4" s="51"/>
      <c r="AB4" s="64" t="s">
        <v>30</v>
      </c>
      <c r="AC4" s="51"/>
      <c r="AD4" s="51"/>
      <c r="AE4" s="1" t="s">
        <v>1</v>
      </c>
      <c r="AF4" s="64" t="s">
        <v>30</v>
      </c>
      <c r="AG4" s="51"/>
      <c r="AH4" s="64" t="s">
        <v>36</v>
      </c>
      <c r="AI4" s="51"/>
      <c r="AJ4" s="64" t="s">
        <v>30</v>
      </c>
      <c r="AK4" s="51"/>
      <c r="AL4" s="1" t="s">
        <v>1</v>
      </c>
      <c r="AM4" s="64" t="s">
        <v>30</v>
      </c>
      <c r="AN4" s="51"/>
      <c r="AO4" s="64" t="s">
        <v>36</v>
      </c>
      <c r="AP4" s="51"/>
      <c r="AQ4" s="64" t="s">
        <v>30</v>
      </c>
      <c r="AR4" s="51"/>
      <c r="AS4" s="64"/>
      <c r="AT4" s="51"/>
      <c r="AU4" s="64"/>
      <c r="AV4" s="51"/>
      <c r="AW4" s="51"/>
      <c r="AX4" s="1" t="s">
        <v>1</v>
      </c>
      <c r="AY4" s="64"/>
      <c r="AZ4" s="51"/>
    </row>
    <row r="5" spans="1:54" ht="15" x14ac:dyDescent="0.25">
      <c r="A5" s="1" t="s">
        <v>2</v>
      </c>
      <c r="B5" s="4">
        <v>570000</v>
      </c>
      <c r="E5" s="4">
        <f>+B5</f>
        <v>570000</v>
      </c>
      <c r="H5" s="51">
        <v>570000</v>
      </c>
      <c r="K5" s="51">
        <v>570000</v>
      </c>
      <c r="L5" s="51"/>
      <c r="N5" s="51">
        <v>600000</v>
      </c>
      <c r="O5" s="51"/>
      <c r="P5" s="51"/>
      <c r="Q5" s="1" t="s">
        <v>2</v>
      </c>
      <c r="R5" s="60">
        <v>600000</v>
      </c>
      <c r="S5" s="51"/>
      <c r="T5" s="64">
        <v>465000</v>
      </c>
      <c r="U5" s="51"/>
      <c r="V5" s="64">
        <v>465000</v>
      </c>
      <c r="W5" s="51"/>
      <c r="X5" s="64">
        <f>+R5</f>
        <v>600000</v>
      </c>
      <c r="Y5" s="51"/>
      <c r="Z5" s="64">
        <v>570000</v>
      </c>
      <c r="AA5" s="51"/>
      <c r="AB5" s="64">
        <v>570000</v>
      </c>
      <c r="AC5" s="51"/>
      <c r="AD5" s="51"/>
      <c r="AE5" s="1" t="s">
        <v>2</v>
      </c>
      <c r="AF5" s="64">
        <v>570000</v>
      </c>
      <c r="AG5" s="51"/>
      <c r="AH5" s="64">
        <v>600000</v>
      </c>
      <c r="AI5" s="51"/>
      <c r="AJ5" s="64">
        <v>570000</v>
      </c>
      <c r="AK5" s="51"/>
      <c r="AL5" s="1" t="s">
        <v>2</v>
      </c>
      <c r="AM5" s="64">
        <v>570000</v>
      </c>
      <c r="AN5" s="51"/>
      <c r="AO5" s="64">
        <v>600000</v>
      </c>
      <c r="AP5" s="51"/>
      <c r="AQ5" s="64">
        <v>420000</v>
      </c>
      <c r="AR5" s="51"/>
      <c r="AS5" s="64">
        <v>600000</v>
      </c>
      <c r="AT5" s="51"/>
      <c r="AU5" s="64"/>
      <c r="AV5" s="51"/>
      <c r="AW5" s="51"/>
      <c r="AX5" s="1" t="s">
        <v>2</v>
      </c>
      <c r="AY5" s="64">
        <v>600000</v>
      </c>
      <c r="AZ5" s="51"/>
    </row>
    <row r="6" spans="1:54" ht="15" x14ac:dyDescent="0.25">
      <c r="A6" s="1" t="s">
        <v>37</v>
      </c>
      <c r="B6" s="4">
        <v>293641.84999999998</v>
      </c>
      <c r="E6" s="4">
        <f>+'160k loan'!G8+'140k loan'!G9</f>
        <v>238062.30000000005</v>
      </c>
      <c r="H6" s="3">
        <f>'160k loan'!G12+'140k loan'!G13+'100k Loan'!F5</f>
        <v>271097.52</v>
      </c>
      <c r="K6" s="51">
        <f>+'160k loan'!G14+'140k loan'!G15+'100k Loan'!F6</f>
        <v>236671.78000000003</v>
      </c>
      <c r="L6" s="51"/>
      <c r="N6" s="56">
        <f>+'160k loan'!G16+'140k loan'!G17+'100k Loan'!F9</f>
        <v>192101.75000000003</v>
      </c>
      <c r="O6" s="51"/>
      <c r="P6" s="51"/>
      <c r="Q6" s="1" t="s">
        <v>3</v>
      </c>
      <c r="R6" s="60">
        <f>+'160k loan'!G16+'140k loan'!G17+'100k Loan'!F8</f>
        <v>196874.95</v>
      </c>
      <c r="S6" s="51"/>
      <c r="T6" s="64">
        <f>+R6</f>
        <v>196874.95</v>
      </c>
      <c r="U6" s="51"/>
      <c r="V6" s="64">
        <f>'160k loan'!D30</f>
        <v>176677.55000000005</v>
      </c>
      <c r="W6" s="51"/>
      <c r="X6" s="64">
        <f>+V6</f>
        <v>176677.55000000005</v>
      </c>
      <c r="Y6" s="51"/>
      <c r="Z6" s="64">
        <f>'160k loan'!D31</f>
        <v>156278.18000000002</v>
      </c>
      <c r="AA6" s="51"/>
      <c r="AB6" s="3">
        <v>135674.82</v>
      </c>
      <c r="AC6" s="51"/>
      <c r="AD6" s="51"/>
      <c r="AE6" s="1" t="s">
        <v>37</v>
      </c>
      <c r="AF6" s="3">
        <f>+'160k loan'!D33</f>
        <v>114865.43000000002</v>
      </c>
      <c r="AG6" s="51"/>
      <c r="AH6" s="64">
        <f>+'160k loan'!D33</f>
        <v>114865.43000000002</v>
      </c>
      <c r="AI6" s="51"/>
      <c r="AJ6" s="64">
        <f>+'160k loan'!D33</f>
        <v>114865.43000000002</v>
      </c>
      <c r="AK6" s="51"/>
      <c r="AL6" s="1" t="s">
        <v>37</v>
      </c>
      <c r="AM6" s="3">
        <f>+'160k loan'!K33</f>
        <v>0</v>
      </c>
      <c r="AN6" s="51"/>
      <c r="AO6" s="64">
        <f>+'160k loan'!D34</f>
        <v>93847.930000000022</v>
      </c>
      <c r="AP6" s="51"/>
      <c r="AQ6" s="64">
        <f>+AO6</f>
        <v>93847.930000000022</v>
      </c>
      <c r="AR6" s="51"/>
      <c r="AS6" s="64">
        <v>0</v>
      </c>
      <c r="AT6" s="51"/>
      <c r="AU6" s="64"/>
      <c r="AV6" s="51"/>
      <c r="AW6" s="51"/>
      <c r="AX6" s="1" t="s">
        <v>37</v>
      </c>
      <c r="AY6" s="64">
        <v>0</v>
      </c>
      <c r="AZ6" s="51"/>
    </row>
    <row r="7" spans="1:54" ht="15" x14ac:dyDescent="0.25">
      <c r="A7" s="1" t="s">
        <v>4</v>
      </c>
      <c r="B7" s="5">
        <v>61203.49</v>
      </c>
      <c r="E7" s="5">
        <v>150118.47</v>
      </c>
      <c r="H7" s="50">
        <v>129155.81</v>
      </c>
      <c r="K7" s="56">
        <v>165255.4</v>
      </c>
      <c r="L7" s="51"/>
      <c r="N7" s="56">
        <v>227635.55</v>
      </c>
      <c r="O7" s="51"/>
      <c r="P7" s="51"/>
      <c r="Q7" s="1" t="s">
        <v>4</v>
      </c>
      <c r="R7" s="61">
        <v>215496.41</v>
      </c>
      <c r="S7" s="51"/>
      <c r="T7" s="69">
        <f>R7</f>
        <v>215496.41</v>
      </c>
      <c r="U7" s="51"/>
      <c r="V7" s="69">
        <v>253320.04</v>
      </c>
      <c r="W7" s="51"/>
      <c r="X7" s="69">
        <v>253320.04</v>
      </c>
      <c r="Y7" s="51"/>
      <c r="Z7" s="69">
        <v>278695.09000000003</v>
      </c>
      <c r="AA7" s="51"/>
      <c r="AB7" s="69">
        <f>280801.45+8866.46</f>
        <v>289667.91000000003</v>
      </c>
      <c r="AC7" s="51"/>
      <c r="AD7" s="51"/>
      <c r="AE7" s="82" t="s">
        <v>42</v>
      </c>
      <c r="AF7" s="64">
        <f>(315285.02)/2</f>
        <v>157642.51</v>
      </c>
      <c r="AG7" s="51"/>
      <c r="AH7" s="64">
        <f>(329692.26)/2</f>
        <v>164846.13</v>
      </c>
      <c r="AI7" s="51"/>
      <c r="AJ7" s="64">
        <f>(329692.26)/2</f>
        <v>164846.13</v>
      </c>
      <c r="AK7" s="51"/>
      <c r="AL7" s="99" t="s">
        <v>4</v>
      </c>
      <c r="AM7" s="64">
        <f>(315285.02)/2</f>
        <v>157642.51</v>
      </c>
      <c r="AN7" s="51"/>
      <c r="AO7" s="64">
        <f>340894.45/2</f>
        <v>170447.22500000001</v>
      </c>
      <c r="AP7" s="51"/>
      <c r="AQ7" s="64">
        <f>+AO7</f>
        <v>170447.22500000001</v>
      </c>
      <c r="AR7" s="51"/>
      <c r="AS7" s="64">
        <v>456061.53</v>
      </c>
      <c r="AT7" s="51"/>
      <c r="AU7" s="64" t="s">
        <v>81</v>
      </c>
      <c r="AV7" s="51"/>
      <c r="AX7" s="99" t="s">
        <v>4</v>
      </c>
      <c r="AY7" s="64">
        <v>456061.53</v>
      </c>
      <c r="AZ7" s="51"/>
    </row>
    <row r="8" spans="1:54" ht="15" x14ac:dyDescent="0.25">
      <c r="M8" s="4"/>
      <c r="N8" s="57"/>
      <c r="O8" s="57">
        <f>SUM(N5:N7)</f>
        <v>1019737.3</v>
      </c>
      <c r="P8" s="57"/>
      <c r="Q8" s="33" t="s">
        <v>5</v>
      </c>
      <c r="R8" s="57"/>
      <c r="S8" s="57">
        <f>SUM(R5:R7)</f>
        <v>1012371.36</v>
      </c>
      <c r="T8" s="65"/>
      <c r="U8" s="70">
        <f>SUM(T5:T7)</f>
        <v>877371.36</v>
      </c>
      <c r="V8" s="65"/>
      <c r="W8" s="70">
        <f>SUM(V5:V7)</f>
        <v>894997.59000000008</v>
      </c>
      <c r="X8" s="65"/>
      <c r="Y8" s="70">
        <f>SUM(X5:X7)</f>
        <v>1029997.5900000001</v>
      </c>
      <c r="Z8" s="65"/>
      <c r="AA8" s="70">
        <f>SUM(Z5:Z7)</f>
        <v>1004973.27</v>
      </c>
      <c r="AB8" s="65"/>
      <c r="AC8" s="70">
        <f>SUM(AB5:AB7)</f>
        <v>995342.7300000001</v>
      </c>
      <c r="AD8" s="70"/>
      <c r="AE8" s="79" t="s">
        <v>43</v>
      </c>
      <c r="AF8" s="69">
        <f>+AF7</f>
        <v>157642.51</v>
      </c>
      <c r="AG8" s="51"/>
      <c r="AH8" s="69">
        <f>+AH7</f>
        <v>164846.13</v>
      </c>
      <c r="AI8" s="51"/>
      <c r="AJ8" s="69">
        <f>+AJ7</f>
        <v>164846.13</v>
      </c>
      <c r="AK8" s="51"/>
      <c r="AL8" s="79"/>
      <c r="AM8" s="69"/>
      <c r="AN8" s="51"/>
      <c r="AO8" s="69"/>
      <c r="AP8" s="51"/>
      <c r="AQ8" s="69"/>
      <c r="AR8" s="51"/>
      <c r="AS8" s="69"/>
      <c r="AT8" s="51"/>
      <c r="AU8" s="64"/>
      <c r="AV8" s="51"/>
      <c r="AW8" s="51"/>
      <c r="AX8" s="79"/>
      <c r="AY8" s="69"/>
      <c r="AZ8" s="51"/>
    </row>
    <row r="9" spans="1:54" ht="15" x14ac:dyDescent="0.25">
      <c r="A9" s="1"/>
      <c r="K9" s="51"/>
      <c r="L9" s="51"/>
      <c r="N9" s="51"/>
      <c r="O9" s="51"/>
      <c r="P9" s="51"/>
      <c r="Q9" s="1"/>
      <c r="R9" s="51"/>
      <c r="S9" s="51"/>
      <c r="T9" s="63"/>
      <c r="U9" s="51"/>
      <c r="V9" s="63"/>
      <c r="W9" s="51"/>
      <c r="X9" s="63"/>
      <c r="Y9" s="51"/>
      <c r="Z9" s="63"/>
      <c r="AA9" s="51"/>
      <c r="AB9" s="63"/>
      <c r="AC9" s="51"/>
      <c r="AD9" s="51"/>
      <c r="AE9" s="79"/>
      <c r="AF9" s="64"/>
      <c r="AG9" s="51"/>
      <c r="AH9" s="64"/>
      <c r="AI9" s="51"/>
      <c r="AJ9" s="64"/>
      <c r="AK9" s="51"/>
      <c r="AL9" s="79"/>
      <c r="AM9" s="64"/>
      <c r="AN9" s="51"/>
      <c r="AO9" s="64"/>
      <c r="AP9" s="51"/>
      <c r="AQ9" s="64"/>
      <c r="AR9" s="51"/>
      <c r="AS9" s="64"/>
      <c r="AT9" s="51"/>
      <c r="AU9" s="88"/>
      <c r="AV9" s="51"/>
      <c r="AW9" s="51"/>
      <c r="AX9" s="79"/>
      <c r="AY9" s="64"/>
      <c r="AZ9" s="51"/>
    </row>
    <row r="10" spans="1:54" ht="15" x14ac:dyDescent="0.25">
      <c r="A10" s="33" t="s">
        <v>5</v>
      </c>
      <c r="C10" s="4">
        <f>SUM(B5:B7)</f>
        <v>924845.34</v>
      </c>
      <c r="F10" s="4">
        <f>SUM(E5:E7)</f>
        <v>958180.77</v>
      </c>
      <c r="G10" s="4"/>
      <c r="H10" s="4"/>
      <c r="I10" s="4">
        <f>SUM(H5:H7)</f>
        <v>970253.33000000007</v>
      </c>
      <c r="J10" s="4"/>
      <c r="K10" s="57"/>
      <c r="L10" s="57">
        <f>SUM(K5:K7)</f>
        <v>971927.18</v>
      </c>
      <c r="N10" s="51"/>
      <c r="O10" s="51"/>
      <c r="P10" s="51"/>
      <c r="Q10" s="2" t="s">
        <v>6</v>
      </c>
      <c r="R10" s="51"/>
      <c r="S10" s="51"/>
      <c r="T10" s="63"/>
      <c r="U10" s="51"/>
      <c r="V10" s="63"/>
      <c r="W10" s="51"/>
      <c r="X10" s="63"/>
      <c r="Y10" s="51"/>
      <c r="Z10" s="63"/>
      <c r="AA10" s="51"/>
      <c r="AB10" s="63"/>
      <c r="AC10" s="51"/>
      <c r="AD10" s="51"/>
      <c r="AE10" s="33" t="s">
        <v>5</v>
      </c>
      <c r="AF10" s="65"/>
      <c r="AG10" s="70">
        <f>SUM(AF5:AF8)</f>
        <v>1000150.4500000001</v>
      </c>
      <c r="AH10" s="65"/>
      <c r="AI10" s="70">
        <f>SUM(AH5:AH8)</f>
        <v>1044557.6900000001</v>
      </c>
      <c r="AJ10" s="65"/>
      <c r="AK10" s="70">
        <f>SUM(AJ5:AJ8)</f>
        <v>1014557.6900000001</v>
      </c>
      <c r="AL10" t="s">
        <v>5</v>
      </c>
      <c r="AM10" s="65"/>
      <c r="AN10" s="70">
        <f>SUM(AM5:AM8)</f>
        <v>727642.51</v>
      </c>
      <c r="AO10" s="65"/>
      <c r="AP10" s="70">
        <f>SUM(AO5:AO8)</f>
        <v>864295.15500000003</v>
      </c>
      <c r="AQ10" s="65"/>
      <c r="AR10" s="70">
        <f>SUM(AQ5:AQ8)</f>
        <v>684295.15500000003</v>
      </c>
      <c r="AS10" s="65"/>
      <c r="AT10" s="70">
        <f>SUM(AS5:AS8)</f>
        <v>1056061.53</v>
      </c>
      <c r="AU10" s="88"/>
      <c r="AV10" s="70"/>
      <c r="AW10" s="70"/>
      <c r="AX10" t="s">
        <v>5</v>
      </c>
      <c r="AY10" s="65"/>
      <c r="AZ10" s="70">
        <f>SUM(AY5:AY8)</f>
        <v>1056061.53</v>
      </c>
    </row>
    <row r="11" spans="1:54" ht="15" x14ac:dyDescent="0.25">
      <c r="N11" s="57">
        <v>178125</v>
      </c>
      <c r="O11" s="51" t="s">
        <v>34</v>
      </c>
      <c r="P11" s="51"/>
      <c r="Q11" s="1" t="s">
        <v>7</v>
      </c>
      <c r="R11" s="57">
        <v>187500</v>
      </c>
      <c r="S11" s="51"/>
      <c r="T11" s="64">
        <f>+R11</f>
        <v>187500</v>
      </c>
      <c r="U11" s="51"/>
      <c r="V11" s="64">
        <v>178125</v>
      </c>
      <c r="W11" s="51"/>
      <c r="X11" s="64">
        <v>178125</v>
      </c>
      <c r="Y11" s="51"/>
      <c r="Z11" s="64">
        <f>178125-9375</f>
        <v>168750</v>
      </c>
      <c r="AA11" s="51"/>
      <c r="AB11" s="64">
        <f>178125-9375-9375</f>
        <v>159375</v>
      </c>
      <c r="AC11" s="51"/>
      <c r="AD11" s="51"/>
      <c r="AE11" s="1"/>
      <c r="AF11" s="63"/>
      <c r="AG11" s="51"/>
      <c r="AH11" s="63"/>
      <c r="AI11" s="51"/>
      <c r="AJ11" s="63"/>
      <c r="AK11" s="51"/>
      <c r="AL11" s="1"/>
      <c r="AM11" s="63"/>
      <c r="AN11" s="51"/>
      <c r="AO11" s="63"/>
      <c r="AP11" s="51"/>
      <c r="AQ11" s="63"/>
      <c r="AR11" s="51"/>
      <c r="AS11" s="63"/>
      <c r="AT11" s="51"/>
      <c r="AU11" s="63"/>
      <c r="AV11" s="51"/>
      <c r="AW11" s="51"/>
      <c r="AX11" s="1"/>
      <c r="AY11" s="63"/>
      <c r="AZ11" s="51"/>
    </row>
    <row r="12" spans="1:54" ht="15" x14ac:dyDescent="0.25">
      <c r="A12" s="2" t="s">
        <v>6</v>
      </c>
      <c r="K12" s="51"/>
      <c r="L12" s="51"/>
      <c r="N12" s="58">
        <v>1496.7</v>
      </c>
      <c r="O12" s="51"/>
      <c r="P12" s="51"/>
      <c r="Q12" s="1" t="s">
        <v>32</v>
      </c>
      <c r="R12" s="51">
        <f>1500/90*43</f>
        <v>716.66666666666674</v>
      </c>
      <c r="S12" s="51"/>
      <c r="T12" s="64">
        <f>+R12</f>
        <v>716.66666666666674</v>
      </c>
      <c r="U12" s="51"/>
      <c r="V12" s="64">
        <v>520</v>
      </c>
      <c r="W12" s="51"/>
      <c r="X12" s="64">
        <v>520</v>
      </c>
      <c r="Y12" s="51"/>
      <c r="Z12" s="64">
        <v>250</v>
      </c>
      <c r="AA12" s="51"/>
      <c r="AB12" s="64">
        <v>250</v>
      </c>
      <c r="AC12" s="51"/>
      <c r="AD12" s="51"/>
      <c r="AE12" s="2" t="s">
        <v>6</v>
      </c>
      <c r="AF12" s="63"/>
      <c r="AG12" s="51"/>
      <c r="AH12" s="63"/>
      <c r="AI12" s="51"/>
      <c r="AJ12" s="63"/>
      <c r="AK12" s="51"/>
      <c r="AL12" s="2" t="s">
        <v>6</v>
      </c>
      <c r="AM12" s="63"/>
      <c r="AN12" s="51"/>
      <c r="AO12" s="63"/>
      <c r="AP12" s="51"/>
      <c r="AQ12" s="63"/>
      <c r="AR12" s="51"/>
      <c r="AS12" s="63"/>
      <c r="AT12" s="51"/>
      <c r="AU12" s="63"/>
      <c r="AV12" s="51"/>
      <c r="AW12" s="51"/>
      <c r="AX12" s="2" t="s">
        <v>6</v>
      </c>
      <c r="AY12" s="63"/>
      <c r="AZ12" s="51"/>
    </row>
    <row r="13" spans="1:54" ht="15" x14ac:dyDescent="0.25">
      <c r="A13" s="1" t="s">
        <v>7</v>
      </c>
      <c r="B13" s="4">
        <v>300000</v>
      </c>
      <c r="E13" s="4">
        <v>253125</v>
      </c>
      <c r="H13" s="4">
        <v>215625</v>
      </c>
      <c r="K13" s="57">
        <v>206250</v>
      </c>
      <c r="L13" s="51"/>
      <c r="N13" s="58"/>
      <c r="O13" s="51"/>
      <c r="P13" s="51"/>
      <c r="Q13" s="1" t="s">
        <v>35</v>
      </c>
      <c r="R13" s="51"/>
      <c r="S13" s="51"/>
      <c r="T13" s="64"/>
      <c r="U13" s="51"/>
      <c r="V13" s="69">
        <v>14375</v>
      </c>
      <c r="W13" s="51"/>
      <c r="X13" s="69">
        <v>14375</v>
      </c>
      <c r="Y13" s="51"/>
      <c r="Z13" s="69">
        <f>14375/3*2</f>
        <v>9583.3333333333339</v>
      </c>
      <c r="AA13" s="51"/>
      <c r="AB13" s="69">
        <f>14375/3*1</f>
        <v>4791.666666666667</v>
      </c>
      <c r="AC13" s="51"/>
      <c r="AD13" s="51"/>
      <c r="AE13" s="1" t="s">
        <v>7</v>
      </c>
      <c r="AF13" s="64">
        <f>178125-9375-9375-9375</f>
        <v>150000</v>
      </c>
      <c r="AG13" s="51"/>
      <c r="AH13" s="64">
        <f>178125-9375-9375-9375</f>
        <v>150000</v>
      </c>
      <c r="AI13" s="51"/>
      <c r="AJ13" s="64">
        <f>178125-9375-9375-9375</f>
        <v>150000</v>
      </c>
      <c r="AK13" s="51"/>
      <c r="AL13" s="1" t="s">
        <v>63</v>
      </c>
      <c r="AM13" s="64">
        <f>178125-9375-9375-9375</f>
        <v>150000</v>
      </c>
      <c r="AN13" s="51"/>
      <c r="AO13" s="64">
        <f>178125-9375-9375-9375-9375</f>
        <v>140625</v>
      </c>
      <c r="AP13" s="51"/>
      <c r="AQ13" s="64">
        <f>178125-9375-9375-9375-9375</f>
        <v>140625</v>
      </c>
      <c r="AR13" s="51"/>
      <c r="AS13" s="64">
        <v>121875</v>
      </c>
      <c r="AT13" s="51"/>
      <c r="AU13" s="64"/>
      <c r="AV13" s="51"/>
      <c r="AW13" s="51"/>
      <c r="AX13" s="1" t="s">
        <v>63</v>
      </c>
      <c r="AY13" s="64">
        <v>121875</v>
      </c>
      <c r="AZ13" s="51"/>
    </row>
    <row r="14" spans="1:54" ht="15" customHeight="1" x14ac:dyDescent="0.25">
      <c r="A14" s="1" t="s">
        <v>38</v>
      </c>
      <c r="B14" s="5">
        <v>2921.47</v>
      </c>
      <c r="E14" s="5">
        <v>2155.09</v>
      </c>
      <c r="H14" s="5">
        <v>1796.48</v>
      </c>
      <c r="K14" s="58">
        <v>1781.89</v>
      </c>
      <c r="L14" s="51"/>
      <c r="N14" s="57"/>
      <c r="O14" s="57">
        <f>SUM(N11:N12)</f>
        <v>179621.7</v>
      </c>
      <c r="P14" s="57"/>
      <c r="Q14" s="1" t="s">
        <v>31</v>
      </c>
      <c r="R14" s="61">
        <f>360+1512</f>
        <v>1872</v>
      </c>
      <c r="S14" s="51"/>
      <c r="T14" s="69">
        <f>+R14</f>
        <v>1872</v>
      </c>
      <c r="U14" s="51"/>
      <c r="V14" s="69"/>
      <c r="W14" s="51"/>
      <c r="X14" s="69"/>
      <c r="Y14" s="51"/>
      <c r="Z14" s="69"/>
      <c r="AA14" s="51"/>
      <c r="AB14" s="69"/>
      <c r="AC14" s="51"/>
      <c r="AD14" s="51"/>
      <c r="AE14" s="1" t="s">
        <v>38</v>
      </c>
      <c r="AF14" s="64">
        <v>447</v>
      </c>
      <c r="AG14" s="51"/>
      <c r="AH14" s="64">
        <v>1260.29</v>
      </c>
      <c r="AI14" s="51"/>
      <c r="AJ14" s="64">
        <v>1260.29</v>
      </c>
      <c r="AK14" s="51"/>
      <c r="AL14" s="1" t="s">
        <v>64</v>
      </c>
      <c r="AM14" s="64">
        <v>447</v>
      </c>
      <c r="AN14" s="51"/>
      <c r="AO14" s="64">
        <f>1260.29/3</f>
        <v>420.09666666666664</v>
      </c>
      <c r="AP14" s="51"/>
      <c r="AQ14" s="64">
        <f>+AO14</f>
        <v>420.09666666666664</v>
      </c>
      <c r="AR14" s="51"/>
      <c r="AS14" s="64">
        <v>306.98</v>
      </c>
      <c r="AT14" s="51"/>
      <c r="AU14" s="138" t="s">
        <v>68</v>
      </c>
      <c r="AV14" s="139"/>
      <c r="AW14" s="139"/>
      <c r="AX14" s="1" t="s">
        <v>64</v>
      </c>
      <c r="AY14" s="64">
        <v>317.45999999999998</v>
      </c>
      <c r="AZ14" s="51"/>
    </row>
    <row r="15" spans="1:54" ht="15" x14ac:dyDescent="0.25">
      <c r="A15" s="1"/>
      <c r="B15" s="5"/>
      <c r="E15" s="5"/>
      <c r="H15" s="5"/>
      <c r="K15" s="58"/>
      <c r="L15" s="51"/>
      <c r="N15" s="57"/>
      <c r="O15" s="57"/>
      <c r="P15" s="57"/>
      <c r="Q15" s="1"/>
      <c r="R15" s="87"/>
      <c r="S15" s="51"/>
      <c r="T15" s="64"/>
      <c r="U15" s="51"/>
      <c r="V15" s="64"/>
      <c r="W15" s="51"/>
      <c r="X15" s="64"/>
      <c r="Y15" s="51"/>
      <c r="Z15" s="64"/>
      <c r="AA15" s="51"/>
      <c r="AB15" s="64"/>
      <c r="AC15" s="51"/>
      <c r="AD15" s="51"/>
      <c r="AE15" s="1"/>
      <c r="AF15" s="64"/>
      <c r="AG15" s="51"/>
      <c r="AH15" s="64"/>
      <c r="AI15" s="51"/>
      <c r="AJ15" s="64"/>
      <c r="AK15" s="51"/>
      <c r="AL15" s="1" t="s">
        <v>67</v>
      </c>
      <c r="AM15" s="64"/>
      <c r="AN15" s="51"/>
      <c r="AO15" s="64"/>
      <c r="AP15" s="51"/>
      <c r="AQ15" s="64"/>
      <c r="AR15" s="51"/>
      <c r="AS15" s="64"/>
      <c r="AT15" s="51"/>
      <c r="AU15" s="138"/>
      <c r="AV15" s="139"/>
      <c r="AW15" s="139"/>
      <c r="AX15" s="1" t="s">
        <v>90</v>
      </c>
      <c r="AY15" s="64">
        <v>300</v>
      </c>
      <c r="AZ15" s="51"/>
    </row>
    <row r="16" spans="1:54" ht="15" x14ac:dyDescent="0.25">
      <c r="A16" s="1"/>
      <c r="B16" s="5"/>
      <c r="E16" s="5"/>
      <c r="H16" s="5"/>
      <c r="K16" s="58"/>
      <c r="L16" s="51"/>
      <c r="N16" s="57"/>
      <c r="O16" s="57"/>
      <c r="P16" s="57"/>
      <c r="Q16" s="1"/>
      <c r="R16" s="87"/>
      <c r="S16" s="51"/>
      <c r="T16" s="64"/>
      <c r="U16" s="51"/>
      <c r="V16" s="64"/>
      <c r="W16" s="51"/>
      <c r="X16" s="64"/>
      <c r="Y16" s="51"/>
      <c r="Z16" s="64"/>
      <c r="AA16" s="51"/>
      <c r="AB16" s="64"/>
      <c r="AC16" s="51"/>
      <c r="AD16" s="51"/>
      <c r="AE16" s="1"/>
      <c r="AF16" s="64"/>
      <c r="AG16" s="51"/>
      <c r="AH16" s="64"/>
      <c r="AI16" s="51"/>
      <c r="AJ16" s="64"/>
      <c r="AK16" s="51"/>
      <c r="AL16" s="1" t="s">
        <v>60</v>
      </c>
      <c r="AM16" s="64"/>
      <c r="AN16" s="51"/>
      <c r="AO16" s="64"/>
      <c r="AP16" s="51"/>
      <c r="AQ16" s="64"/>
      <c r="AR16" s="51"/>
      <c r="AS16" s="64">
        <v>2400</v>
      </c>
      <c r="AT16" s="51"/>
      <c r="AU16" s="64"/>
      <c r="AV16" s="51"/>
      <c r="AW16" s="51"/>
      <c r="AX16" s="1" t="s">
        <v>60</v>
      </c>
      <c r="AY16" s="64">
        <v>2400</v>
      </c>
      <c r="AZ16" s="51"/>
    </row>
    <row r="17" spans="1:57" ht="15" x14ac:dyDescent="0.25">
      <c r="A17" s="1"/>
      <c r="B17" s="5"/>
      <c r="E17" s="5"/>
      <c r="H17" s="5"/>
      <c r="K17" s="58"/>
      <c r="L17" s="51"/>
      <c r="N17" s="57"/>
      <c r="O17" s="57"/>
      <c r="P17" s="57"/>
      <c r="Q17" s="1"/>
      <c r="R17" s="87"/>
      <c r="S17" s="51"/>
      <c r="T17" s="64"/>
      <c r="U17" s="51"/>
      <c r="V17" s="64"/>
      <c r="W17" s="51"/>
      <c r="X17" s="64"/>
      <c r="Y17" s="51"/>
      <c r="Z17" s="64"/>
      <c r="AA17" s="51"/>
      <c r="AB17" s="64"/>
      <c r="AC17" s="51"/>
      <c r="AD17" s="51"/>
      <c r="AE17" s="1"/>
      <c r="AF17" s="64"/>
      <c r="AG17" s="51"/>
      <c r="AH17" s="64"/>
      <c r="AI17" s="51"/>
      <c r="AJ17" s="64"/>
      <c r="AK17" s="51"/>
      <c r="AL17" s="1" t="s">
        <v>61</v>
      </c>
      <c r="AM17" s="64"/>
      <c r="AN17" s="51"/>
      <c r="AO17" s="64"/>
      <c r="AP17" s="51"/>
      <c r="AQ17" s="64"/>
      <c r="AR17" s="51"/>
      <c r="AS17" s="64">
        <v>900</v>
      </c>
      <c r="AT17" s="51"/>
      <c r="AU17" s="63"/>
      <c r="AV17" s="51"/>
      <c r="AW17" s="51"/>
      <c r="AX17" s="1" t="s">
        <v>61</v>
      </c>
      <c r="AY17" s="64">
        <v>900</v>
      </c>
      <c r="AZ17" s="51"/>
      <c r="BE17" s="130"/>
    </row>
    <row r="18" spans="1:57" ht="15" x14ac:dyDescent="0.25">
      <c r="A18" s="1"/>
      <c r="B18" s="5"/>
      <c r="E18" s="5"/>
      <c r="H18" s="5"/>
      <c r="K18" s="58"/>
      <c r="L18" s="51"/>
      <c r="N18" s="57"/>
      <c r="O18" s="57"/>
      <c r="P18" s="57"/>
      <c r="Q18" s="1"/>
      <c r="R18" s="87"/>
      <c r="S18" s="51"/>
      <c r="T18" s="64"/>
      <c r="U18" s="51"/>
      <c r="V18" s="64"/>
      <c r="W18" s="51"/>
      <c r="X18" s="64"/>
      <c r="Y18" s="51"/>
      <c r="Z18" s="64"/>
      <c r="AA18" s="51"/>
      <c r="AB18" s="64"/>
      <c r="AC18" s="51"/>
      <c r="AD18" s="51"/>
      <c r="AE18" s="1"/>
      <c r="AF18" s="64"/>
      <c r="AG18" s="51"/>
      <c r="AH18" s="64"/>
      <c r="AI18" s="51"/>
      <c r="AJ18" s="64"/>
      <c r="AK18" s="51"/>
      <c r="AL18" s="1" t="s">
        <v>62</v>
      </c>
      <c r="AM18" s="64"/>
      <c r="AN18" s="51"/>
      <c r="AO18" s="64"/>
      <c r="AP18" s="51"/>
      <c r="AQ18" s="64"/>
      <c r="AR18" s="51"/>
      <c r="AS18" s="64">
        <v>1250</v>
      </c>
      <c r="AT18" s="51"/>
      <c r="AU18" s="63"/>
      <c r="AV18" s="51"/>
      <c r="AW18" s="51"/>
      <c r="AX18" s="1" t="s">
        <v>62</v>
      </c>
      <c r="AY18" s="64">
        <v>1250</v>
      </c>
      <c r="AZ18" s="51"/>
      <c r="BC18" s="90" t="s">
        <v>89</v>
      </c>
      <c r="BD18" s="131">
        <f>AY3-AS3</f>
        <v>9</v>
      </c>
    </row>
    <row r="19" spans="1:57" ht="15" x14ac:dyDescent="0.25">
      <c r="A19" s="1"/>
      <c r="B19" s="5"/>
      <c r="E19" s="5"/>
      <c r="H19" s="5"/>
      <c r="K19" s="58"/>
      <c r="L19" s="51"/>
      <c r="N19" s="57"/>
      <c r="O19" s="57"/>
      <c r="P19" s="57"/>
      <c r="Q19" s="1"/>
      <c r="R19" s="87"/>
      <c r="S19" s="51"/>
      <c r="T19" s="64"/>
      <c r="U19" s="51"/>
      <c r="V19" s="64"/>
      <c r="W19" s="51"/>
      <c r="X19" s="64"/>
      <c r="Y19" s="51"/>
      <c r="Z19" s="64"/>
      <c r="AA19" s="51"/>
      <c r="AB19" s="64"/>
      <c r="AC19" s="51"/>
      <c r="AD19" s="51"/>
      <c r="AE19" s="1"/>
      <c r="AF19" s="64"/>
      <c r="AG19" s="51"/>
      <c r="AH19" s="64"/>
      <c r="AI19" s="51"/>
      <c r="AJ19" s="64"/>
      <c r="AK19" s="51"/>
      <c r="AL19" s="1" t="s">
        <v>65</v>
      </c>
      <c r="AM19" s="64"/>
      <c r="AN19" s="51"/>
      <c r="AO19" s="64"/>
      <c r="AP19" s="51"/>
      <c r="AQ19" s="64"/>
      <c r="AR19" s="51"/>
      <c r="AS19" s="64">
        <v>195</v>
      </c>
      <c r="AT19" s="51"/>
      <c r="AU19" s="63"/>
      <c r="AW19" s="51"/>
      <c r="AX19" s="1" t="s">
        <v>65</v>
      </c>
      <c r="AY19" s="64">
        <v>195</v>
      </c>
      <c r="AZ19" s="51"/>
      <c r="BD19">
        <f>57500/365</f>
        <v>157.53424657534248</v>
      </c>
    </row>
    <row r="20" spans="1:57" ht="15" x14ac:dyDescent="0.25">
      <c r="A20" s="1"/>
      <c r="B20" s="5"/>
      <c r="E20" s="5"/>
      <c r="H20" s="5"/>
      <c r="K20" s="58"/>
      <c r="L20" s="51"/>
      <c r="N20" s="57"/>
      <c r="O20" s="57"/>
      <c r="P20" s="57"/>
      <c r="Q20" s="1"/>
      <c r="R20" s="87"/>
      <c r="S20" s="51"/>
      <c r="T20" s="64"/>
      <c r="U20" s="51"/>
      <c r="V20" s="64"/>
      <c r="W20" s="51"/>
      <c r="X20" s="64"/>
      <c r="Y20" s="51"/>
      <c r="Z20" s="64"/>
      <c r="AA20" s="51"/>
      <c r="AB20" s="64"/>
      <c r="AC20" s="51"/>
      <c r="AD20" s="51"/>
      <c r="AE20" s="1"/>
      <c r="AF20" s="64"/>
      <c r="AG20" s="51"/>
      <c r="AH20" s="64"/>
      <c r="AI20" s="51"/>
      <c r="AJ20" s="64"/>
      <c r="AK20" s="51"/>
      <c r="AL20" s="1" t="s">
        <v>80</v>
      </c>
      <c r="AM20" s="64"/>
      <c r="AN20" s="51"/>
      <c r="AO20" s="64"/>
      <c r="AP20" s="51"/>
      <c r="AQ20" s="64"/>
      <c r="AR20" s="51"/>
      <c r="AS20" s="64">
        <v>14375</v>
      </c>
      <c r="AT20" s="51"/>
      <c r="AU20" s="63"/>
      <c r="AW20" s="51"/>
      <c r="AX20" s="1" t="s">
        <v>80</v>
      </c>
      <c r="AY20" s="64">
        <v>14375</v>
      </c>
      <c r="AZ20" s="51"/>
      <c r="BD20">
        <f>+BD19*BD18</f>
        <v>1417.8082191780823</v>
      </c>
    </row>
    <row r="21" spans="1:57" ht="15" x14ac:dyDescent="0.25">
      <c r="A21" s="1" t="s">
        <v>35</v>
      </c>
      <c r="B21" s="5"/>
      <c r="E21" s="5"/>
      <c r="H21" s="5"/>
      <c r="K21" s="58"/>
      <c r="L21" s="51"/>
      <c r="N21" s="51"/>
      <c r="O21" s="51"/>
      <c r="P21" s="51"/>
      <c r="Q21" s="33" t="s">
        <v>9</v>
      </c>
      <c r="R21" s="33"/>
      <c r="S21" s="57">
        <f>SUM(R11:R14)</f>
        <v>190088.66666666666</v>
      </c>
      <c r="T21" s="65"/>
      <c r="U21" s="57">
        <f>SUM(T11:T14)</f>
        <v>190088.66666666666</v>
      </c>
      <c r="V21" s="65"/>
      <c r="W21" s="57">
        <f>SUM(V11:V14)</f>
        <v>193020</v>
      </c>
      <c r="X21" s="65"/>
      <c r="Y21" s="57">
        <f>SUM(X11:X14)</f>
        <v>193020</v>
      </c>
      <c r="Z21" s="65"/>
      <c r="AA21" s="57">
        <f>SUM(Z11:Z14)</f>
        <v>178583.33333333334</v>
      </c>
      <c r="AB21" s="65"/>
      <c r="AC21" s="57">
        <f>SUM(AB11:AB14)</f>
        <v>164416.66666666666</v>
      </c>
      <c r="AD21" s="57"/>
      <c r="AE21" s="1" t="s">
        <v>35</v>
      </c>
      <c r="AF21" s="69">
        <f>14375/3*2</f>
        <v>9583.3333333333339</v>
      </c>
      <c r="AG21" s="51"/>
      <c r="AH21" s="69">
        <f>14375/3*3</f>
        <v>14375</v>
      </c>
      <c r="AI21" s="51"/>
      <c r="AJ21" s="69">
        <f>14375/3*3</f>
        <v>14375</v>
      </c>
      <c r="AK21" s="51"/>
      <c r="AL21" s="1" t="s">
        <v>35</v>
      </c>
      <c r="AM21" s="69">
        <f>14375/3*2</f>
        <v>9583.3333333333339</v>
      </c>
      <c r="AN21" s="51"/>
      <c r="AO21" s="69">
        <f>14375/3*2</f>
        <v>9583.3333333333339</v>
      </c>
      <c r="AP21" s="51"/>
      <c r="AQ21" s="69">
        <f>+AO21</f>
        <v>9583.3333333333339</v>
      </c>
      <c r="AR21" s="51"/>
      <c r="AS21" s="69">
        <f>14375/3*2</f>
        <v>9583.3333333333339</v>
      </c>
      <c r="AT21" s="51"/>
      <c r="AU21" s="63"/>
      <c r="AV21" s="51"/>
      <c r="AW21" s="51"/>
      <c r="AX21" s="1" t="s">
        <v>35</v>
      </c>
      <c r="AY21" s="69">
        <f>(14375/3*2)-BD20</f>
        <v>8165.5251141552517</v>
      </c>
      <c r="AZ21" s="51"/>
    </row>
    <row r="22" spans="1:57" ht="15" x14ac:dyDescent="0.25">
      <c r="M22" s="4"/>
      <c r="N22" s="57"/>
      <c r="O22" s="57">
        <f>+O8-O14</f>
        <v>840115.60000000009</v>
      </c>
      <c r="P22" s="57"/>
      <c r="R22" s="1"/>
      <c r="S22" s="51"/>
      <c r="T22" s="63"/>
      <c r="U22" s="51"/>
      <c r="V22" s="63"/>
      <c r="W22" s="74"/>
      <c r="X22" s="63"/>
      <c r="Y22" s="56"/>
      <c r="Z22" s="63"/>
      <c r="AA22" s="74"/>
      <c r="AB22" s="63"/>
      <c r="AC22" s="74"/>
      <c r="AD22" s="76"/>
      <c r="AF22" s="64"/>
      <c r="AG22" s="51"/>
      <c r="AH22" s="64"/>
      <c r="AI22" s="51"/>
      <c r="AJ22" s="64"/>
      <c r="AK22" s="51"/>
      <c r="AM22" s="64"/>
      <c r="AN22" s="51"/>
      <c r="AO22" s="64"/>
      <c r="AP22" s="51"/>
      <c r="AQ22" s="64"/>
      <c r="AR22" s="51"/>
      <c r="AS22" s="64"/>
      <c r="AT22" s="51"/>
      <c r="AU22" s="63"/>
      <c r="AV22" s="51"/>
      <c r="AW22" s="51"/>
      <c r="AY22" s="64"/>
      <c r="AZ22" s="51"/>
    </row>
    <row r="23" spans="1:57" ht="15" x14ac:dyDescent="0.25">
      <c r="C23" s="4">
        <f>SUM(B13:B14)</f>
        <v>302921.46999999997</v>
      </c>
      <c r="D23" s="4"/>
      <c r="F23" s="4">
        <f>SUM(E13:E14)</f>
        <v>255280.09</v>
      </c>
      <c r="G23" s="4"/>
      <c r="H23" s="4"/>
      <c r="I23" s="4">
        <f>SUM(H13:H14)</f>
        <v>217421.48</v>
      </c>
      <c r="J23" s="4"/>
      <c r="K23" s="57"/>
      <c r="L23" s="57">
        <f>SUM(K13:K14)</f>
        <v>208031.89</v>
      </c>
      <c r="Q23" s="33" t="s">
        <v>8</v>
      </c>
      <c r="R23" s="33"/>
      <c r="S23" s="57">
        <f>+S8-S21</f>
        <v>822282.69333333336</v>
      </c>
      <c r="T23" s="65"/>
      <c r="U23" s="57">
        <f>+U8-U21</f>
        <v>687282.69333333336</v>
      </c>
      <c r="V23" s="65"/>
      <c r="W23" s="57">
        <f>+W8-W21</f>
        <v>701977.59000000008</v>
      </c>
      <c r="X23" s="65"/>
      <c r="Y23" s="57">
        <f>+Y8-Y21</f>
        <v>836977.59000000008</v>
      </c>
      <c r="Z23" s="65"/>
      <c r="AA23" s="57">
        <f>+AA8-AA21</f>
        <v>826389.93666666665</v>
      </c>
      <c r="AB23" s="65"/>
      <c r="AC23" s="57">
        <f>+AC8-AC21</f>
        <v>830926.06333333347</v>
      </c>
      <c r="AD23" s="57"/>
      <c r="AE23" s="33" t="s">
        <v>9</v>
      </c>
      <c r="AF23" s="64"/>
      <c r="AG23" s="57">
        <f>SUM(AF13:AF22)</f>
        <v>160030.33333333334</v>
      </c>
      <c r="AH23" s="64"/>
      <c r="AI23" s="57">
        <f>SUM(AH13:AH22)</f>
        <v>165635.29</v>
      </c>
      <c r="AJ23" s="64"/>
      <c r="AK23" s="57">
        <f>SUM(AJ13:AJ22)</f>
        <v>165635.29</v>
      </c>
      <c r="AL23" s="33" t="s">
        <v>9</v>
      </c>
      <c r="AM23" s="64"/>
      <c r="AN23" s="57">
        <f>SUM(AM13:AM22)</f>
        <v>160030.33333333334</v>
      </c>
      <c r="AO23" s="64"/>
      <c r="AP23" s="57">
        <f>SUM(AO13:AO22)</f>
        <v>150628.43000000002</v>
      </c>
      <c r="AQ23" s="64"/>
      <c r="AR23" s="57">
        <f>SUM(AQ13:AQ22)</f>
        <v>150628.43000000002</v>
      </c>
      <c r="AS23" s="64"/>
      <c r="AT23" s="57">
        <f>SUM(AS13:AS22)</f>
        <v>150885.31333333332</v>
      </c>
      <c r="AU23" s="63"/>
      <c r="AV23" s="57"/>
      <c r="AW23" s="57"/>
      <c r="AX23" s="33" t="s">
        <v>9</v>
      </c>
      <c r="AY23" s="64"/>
      <c r="AZ23" s="57">
        <f>SUM(AY13:AY22)</f>
        <v>149777.98511415528</v>
      </c>
    </row>
    <row r="24" spans="1:57" ht="15" x14ac:dyDescent="0.25">
      <c r="A24" s="33" t="s">
        <v>9</v>
      </c>
      <c r="C24" s="3"/>
      <c r="K24" s="51"/>
      <c r="L24" s="51"/>
      <c r="M24" s="4"/>
      <c r="T24" s="62"/>
      <c r="V24" s="62"/>
      <c r="X24" s="62"/>
      <c r="Z24" s="62"/>
      <c r="AB24" s="62"/>
      <c r="AE24" s="33" t="s">
        <v>8</v>
      </c>
      <c r="AF24" s="63"/>
      <c r="AG24" s="74"/>
      <c r="AH24" s="63"/>
      <c r="AI24" s="74"/>
      <c r="AJ24" s="63"/>
      <c r="AK24" s="74"/>
      <c r="AL24" s="33" t="s">
        <v>8</v>
      </c>
      <c r="AM24" s="63"/>
      <c r="AN24" s="74"/>
      <c r="AO24" s="63"/>
      <c r="AP24" s="74"/>
      <c r="AQ24" s="63"/>
      <c r="AR24" s="74"/>
      <c r="AS24" s="63"/>
      <c r="AT24" s="74"/>
      <c r="AU24" s="63"/>
      <c r="AV24" s="57"/>
      <c r="AW24" s="57"/>
      <c r="AX24" s="33" t="s">
        <v>8</v>
      </c>
      <c r="AY24" s="63"/>
      <c r="AZ24" s="74"/>
    </row>
    <row r="25" spans="1:57" ht="15" x14ac:dyDescent="0.25">
      <c r="A25" s="33" t="s">
        <v>8</v>
      </c>
      <c r="C25" s="4">
        <f>+C10-C23</f>
        <v>621923.87</v>
      </c>
      <c r="F25" s="4">
        <f>+F10-F23</f>
        <v>702900.68</v>
      </c>
      <c r="G25" s="4"/>
      <c r="H25" s="4"/>
      <c r="I25" s="4">
        <f>+I10-I23</f>
        <v>752831.85000000009</v>
      </c>
      <c r="J25" s="4"/>
      <c r="K25" s="57"/>
      <c r="L25" s="57">
        <f>+L10-L23</f>
        <v>763895.29</v>
      </c>
      <c r="T25" s="62"/>
      <c r="V25" s="62"/>
      <c r="X25" s="62"/>
      <c r="Z25" s="62"/>
      <c r="AB25" s="62"/>
      <c r="AF25" s="65"/>
      <c r="AG25" s="57">
        <f>+AG10-AG23</f>
        <v>840120.1166666667</v>
      </c>
      <c r="AH25" s="65"/>
      <c r="AI25" s="57">
        <f>+AI10-AI23</f>
        <v>878922.4</v>
      </c>
      <c r="AJ25" s="65"/>
      <c r="AK25" s="57">
        <f>+AK10-AK23</f>
        <v>848922.4</v>
      </c>
      <c r="AM25" s="65"/>
      <c r="AN25" s="57">
        <f>+AN10-AN23</f>
        <v>567612.17666666664</v>
      </c>
      <c r="AO25" s="65"/>
      <c r="AP25" s="57">
        <f>+AP10-AP23</f>
        <v>713666.72499999998</v>
      </c>
      <c r="AQ25" s="65"/>
      <c r="AR25" s="57">
        <f>+AR10-AR23</f>
        <v>533666.72499999998</v>
      </c>
      <c r="AS25" s="65"/>
      <c r="AT25" s="57">
        <f>+AT10-AT23</f>
        <v>905176.21666666667</v>
      </c>
      <c r="AU25" s="63"/>
      <c r="AV25" s="57"/>
      <c r="AW25" s="57"/>
      <c r="AY25" s="65"/>
      <c r="AZ25" s="57">
        <f>+AZ10-AZ23</f>
        <v>906283.54488584469</v>
      </c>
    </row>
    <row r="26" spans="1:57" ht="15" x14ac:dyDescent="0.25">
      <c r="Q26" s="5" t="s">
        <v>10</v>
      </c>
      <c r="T26" s="62"/>
      <c r="V26" s="62"/>
      <c r="X26" s="62"/>
      <c r="Z26" s="62"/>
      <c r="AB26" s="62"/>
      <c r="AF26" s="62"/>
      <c r="AH26" s="62"/>
      <c r="AJ26" s="62"/>
      <c r="AM26" s="62"/>
      <c r="AO26" s="62"/>
      <c r="AQ26" s="62"/>
      <c r="AS26" s="62"/>
      <c r="AU26" s="63"/>
      <c r="AV26" s="57"/>
      <c r="AW26" s="57"/>
      <c r="AY26" s="62"/>
    </row>
    <row r="27" spans="1:57" ht="15" x14ac:dyDescent="0.25">
      <c r="Q27" s="4"/>
      <c r="T27" s="62"/>
      <c r="V27" s="62"/>
      <c r="X27" s="62"/>
      <c r="Z27" s="62"/>
      <c r="AB27" s="62"/>
      <c r="AF27" s="62"/>
      <c r="AH27" s="62"/>
      <c r="AJ27" s="62"/>
      <c r="AM27" s="62"/>
      <c r="AO27" s="62"/>
      <c r="AQ27" s="62"/>
      <c r="AS27" s="62"/>
      <c r="AU27" s="63"/>
      <c r="AY27" s="62"/>
    </row>
    <row r="28" spans="1:57" ht="15" x14ac:dyDescent="0.25">
      <c r="A28" s="5" t="s">
        <v>10</v>
      </c>
      <c r="B28" s="4"/>
      <c r="C28" s="4"/>
      <c r="D28" s="4"/>
      <c r="N28" s="7">
        <v>0.29399999999999998</v>
      </c>
      <c r="O28" s="4">
        <f>+O$22*N28</f>
        <v>246993.98640000002</v>
      </c>
      <c r="P28" s="4"/>
      <c r="Q28" s="4" t="s">
        <v>11</v>
      </c>
      <c r="R28" s="7">
        <v>0.29399999999999998</v>
      </c>
      <c r="S28" s="4">
        <f>+S$23*R28</f>
        <v>241751.11184</v>
      </c>
      <c r="T28" s="66">
        <v>0.29399999999999998</v>
      </c>
      <c r="U28" s="4">
        <f>+U$23*T28</f>
        <v>202061.11184</v>
      </c>
      <c r="V28" s="66">
        <v>0.29399999999999998</v>
      </c>
      <c r="W28" s="4">
        <f>+W$23*V28</f>
        <v>206381.41146</v>
      </c>
      <c r="X28" s="66">
        <v>0.29399999999999998</v>
      </c>
      <c r="Y28" s="4">
        <f>+Y$23*X28</f>
        <v>246071.41146</v>
      </c>
      <c r="Z28" s="66">
        <v>0.29399999999999998</v>
      </c>
      <c r="AA28" s="4">
        <f>+AA$23*Z28</f>
        <v>242958.64137999999</v>
      </c>
      <c r="AB28" s="66">
        <v>0.29399999999999998</v>
      </c>
      <c r="AC28" s="4">
        <f>+AC$23*AB28</f>
        <v>244292.26262000002</v>
      </c>
      <c r="AD28" s="4"/>
      <c r="AE28" s="5" t="s">
        <v>10</v>
      </c>
      <c r="AF28" s="62"/>
      <c r="AH28" s="62"/>
      <c r="AJ28" s="62"/>
      <c r="AL28" s="5" t="s">
        <v>10</v>
      </c>
      <c r="AM28" s="62"/>
      <c r="AO28" s="62"/>
      <c r="AQ28" s="62"/>
      <c r="AS28" s="62"/>
      <c r="AU28" s="63"/>
      <c r="AX28" s="5" t="s">
        <v>10</v>
      </c>
      <c r="AY28" s="62"/>
    </row>
    <row r="29" spans="1:57" ht="15" x14ac:dyDescent="0.25">
      <c r="A29" s="4"/>
      <c r="B29" s="4"/>
      <c r="C29" s="4"/>
      <c r="D29" s="4"/>
      <c r="N29" s="7">
        <v>0.20599999999999999</v>
      </c>
      <c r="O29" s="4">
        <f>+O$22*N29</f>
        <v>173063.81360000002</v>
      </c>
      <c r="P29" s="4"/>
      <c r="Q29" s="4" t="s">
        <v>12</v>
      </c>
      <c r="R29" s="7">
        <v>0.20599999999999999</v>
      </c>
      <c r="S29" s="4">
        <f>+S$23*R29</f>
        <v>169390.23482666665</v>
      </c>
      <c r="T29" s="66">
        <v>0.20599999999999999</v>
      </c>
      <c r="U29" s="4">
        <f>+U$23*T29</f>
        <v>141580.23482666665</v>
      </c>
      <c r="V29" s="66">
        <v>0.20599999999999999</v>
      </c>
      <c r="W29" s="4">
        <f>+W$23*V29</f>
        <v>144607.38354000001</v>
      </c>
      <c r="X29" s="66">
        <v>0.20599999999999999</v>
      </c>
      <c r="Y29" s="4">
        <f>+Y$23*X29</f>
        <v>172417.38354000001</v>
      </c>
      <c r="Z29" s="66">
        <v>0.20599999999999999</v>
      </c>
      <c r="AA29" s="4">
        <f>+AA$23*Z29</f>
        <v>170236.32695333331</v>
      </c>
      <c r="AB29" s="66">
        <v>0.20599999999999999</v>
      </c>
      <c r="AC29" s="4">
        <f>+AC$23*AB29</f>
        <v>171170.76904666668</v>
      </c>
      <c r="AD29" s="4"/>
      <c r="AE29" s="4"/>
      <c r="AF29" s="62"/>
      <c r="AH29" s="62"/>
      <c r="AJ29" s="62"/>
      <c r="AL29" s="4"/>
      <c r="AM29" s="62"/>
      <c r="AO29" s="62"/>
      <c r="AQ29" s="62"/>
      <c r="AS29" s="62"/>
      <c r="AU29" s="62"/>
      <c r="AX29" s="4"/>
      <c r="AY29" s="62"/>
    </row>
    <row r="30" spans="1:57" ht="15" x14ac:dyDescent="0.25">
      <c r="A30" s="4" t="s">
        <v>11</v>
      </c>
      <c r="B30" s="7">
        <v>0.29399999999999998</v>
      </c>
      <c r="C30" s="4">
        <f>+C$25*B30</f>
        <v>182845.61778</v>
      </c>
      <c r="D30" s="4"/>
      <c r="E30" s="7">
        <v>0.29399999999999998</v>
      </c>
      <c r="F30" s="4">
        <f>+F$25*E30</f>
        <v>206652.79991999999</v>
      </c>
      <c r="G30" s="4"/>
      <c r="H30" s="7">
        <v>0.29399999999999998</v>
      </c>
      <c r="I30" s="4">
        <f>+I$25*H30</f>
        <v>221332.56390000001</v>
      </c>
      <c r="J30" s="4"/>
      <c r="K30" s="7">
        <v>0.29399999999999998</v>
      </c>
      <c r="L30" s="4">
        <f>+L$25*K30</f>
        <v>224585.21526</v>
      </c>
      <c r="M30" s="4"/>
      <c r="N30" s="8">
        <f>+N28+N29</f>
        <v>0.5</v>
      </c>
      <c r="O30" s="6">
        <f>+O$22*N30</f>
        <v>420057.80000000005</v>
      </c>
      <c r="P30" s="6"/>
      <c r="Q30" s="6" t="s">
        <v>15</v>
      </c>
      <c r="R30" s="8">
        <f>+R28+R29</f>
        <v>0.5</v>
      </c>
      <c r="S30" s="6">
        <f>+S$23*R30</f>
        <v>411141.34666666668</v>
      </c>
      <c r="T30" s="67">
        <f>+T28+T29</f>
        <v>0.5</v>
      </c>
      <c r="U30" s="6">
        <f>+U$23*T30</f>
        <v>343641.34666666668</v>
      </c>
      <c r="V30" s="67">
        <f>+V28+V29</f>
        <v>0.5</v>
      </c>
      <c r="W30" s="6">
        <f>+W$23*V30</f>
        <v>350988.79500000004</v>
      </c>
      <c r="X30" s="67">
        <f>+X28+X29</f>
        <v>0.5</v>
      </c>
      <c r="Y30" s="6">
        <f>+Y$23*X30</f>
        <v>418488.79500000004</v>
      </c>
      <c r="Z30" s="67">
        <f>+Z28+Z29</f>
        <v>0.5</v>
      </c>
      <c r="AA30" s="6">
        <f>+AA$23*Z30</f>
        <v>413194.96833333332</v>
      </c>
      <c r="AB30" s="67">
        <f>+AB28+AB29</f>
        <v>0.5</v>
      </c>
      <c r="AC30" s="6">
        <f>+AC$23*AB30</f>
        <v>415463.03166666673</v>
      </c>
      <c r="AD30" s="6"/>
      <c r="AE30" s="4" t="s">
        <v>11</v>
      </c>
      <c r="AF30" s="66">
        <v>0.29399999999999998</v>
      </c>
      <c r="AG30" s="4">
        <f>+AG$25*AF30</f>
        <v>246995.3143</v>
      </c>
      <c r="AH30" s="66">
        <v>0.29399999999999998</v>
      </c>
      <c r="AI30" s="4">
        <f>+AI$25*AH30</f>
        <v>258403.1856</v>
      </c>
      <c r="AJ30" s="66">
        <v>0.29399999999999998</v>
      </c>
      <c r="AK30" s="4">
        <f>+AK$25*AJ30</f>
        <v>249583.1856</v>
      </c>
      <c r="AL30" s="4" t="s">
        <v>11</v>
      </c>
      <c r="AM30" s="66">
        <v>0.29399999999999998</v>
      </c>
      <c r="AN30" s="4">
        <f>+AN$25*AM30</f>
        <v>166877.97993999999</v>
      </c>
      <c r="AO30" s="66">
        <v>0.29399999999999998</v>
      </c>
      <c r="AP30" s="4">
        <f>+AP$25*AO30</f>
        <v>209818.01714999997</v>
      </c>
      <c r="AQ30" s="66">
        <v>0.29399999999999998</v>
      </c>
      <c r="AR30" s="4">
        <f>+AR$25*AQ30</f>
        <v>156898.01714999997</v>
      </c>
      <c r="AS30" s="66">
        <v>0.29399999999999998</v>
      </c>
      <c r="AT30" s="4">
        <f>+AT$25*AS30</f>
        <v>266121.8077</v>
      </c>
      <c r="AU30" s="66"/>
      <c r="AV30" s="4"/>
      <c r="AW30" s="4"/>
      <c r="AX30" s="4" t="s">
        <v>11</v>
      </c>
      <c r="AY30" s="66">
        <v>0.29399999999999998</v>
      </c>
      <c r="AZ30" s="4">
        <f>+AZ$25*AY30</f>
        <v>266447.36219643831</v>
      </c>
    </row>
    <row r="31" spans="1:57" ht="15" x14ac:dyDescent="0.25">
      <c r="A31" s="4" t="s">
        <v>12</v>
      </c>
      <c r="B31" s="7">
        <v>0.20599999999999999</v>
      </c>
      <c r="C31" s="4">
        <f>+C$25*B31</f>
        <v>128116.31722</v>
      </c>
      <c r="D31" s="4"/>
      <c r="E31" s="7">
        <v>0.20599999999999999</v>
      </c>
      <c r="F31" s="4">
        <f>+F$25*E31</f>
        <v>144797.54008000001</v>
      </c>
      <c r="G31" s="4"/>
      <c r="H31" s="7">
        <v>0.20599999999999999</v>
      </c>
      <c r="I31" s="4">
        <f>+I$25*H31</f>
        <v>155083.36110000001</v>
      </c>
      <c r="J31" s="4"/>
      <c r="K31" s="7">
        <v>0.20599999999999999</v>
      </c>
      <c r="L31" s="4">
        <f>+L$25*K31</f>
        <v>157362.42973999999</v>
      </c>
      <c r="M31" s="4"/>
      <c r="N31" s="7"/>
      <c r="O31" s="4"/>
      <c r="P31" s="4"/>
      <c r="Q31" s="4"/>
      <c r="R31" s="7"/>
      <c r="S31" s="4"/>
      <c r="T31" s="66"/>
      <c r="U31" s="4"/>
      <c r="V31" s="66"/>
      <c r="W31" s="4"/>
      <c r="X31" s="66"/>
      <c r="Y31" s="4"/>
      <c r="Z31" s="66"/>
      <c r="AA31" s="4"/>
      <c r="AB31" s="66"/>
      <c r="AC31" s="4"/>
      <c r="AD31" s="4"/>
      <c r="AE31" s="4" t="s">
        <v>12</v>
      </c>
      <c r="AF31" s="66">
        <v>0.20599999999999999</v>
      </c>
      <c r="AG31" s="4">
        <f>+AG$25*AF31</f>
        <v>173064.74403333332</v>
      </c>
      <c r="AH31" s="66">
        <v>0.20599999999999999</v>
      </c>
      <c r="AI31" s="4">
        <f>+AI$25*AH31</f>
        <v>181058.01439999999</v>
      </c>
      <c r="AJ31" s="66">
        <v>0.20599999999999999</v>
      </c>
      <c r="AK31" s="4">
        <f>+AK$25*AJ31</f>
        <v>174878.01439999999</v>
      </c>
      <c r="AL31" s="4" t="s">
        <v>12</v>
      </c>
      <c r="AM31" s="66">
        <v>0.20599999999999999</v>
      </c>
      <c r="AN31" s="4">
        <f>+AN$25*AM31</f>
        <v>116928.10839333331</v>
      </c>
      <c r="AO31" s="66">
        <v>0.20599999999999999</v>
      </c>
      <c r="AP31" s="4">
        <f>+AP$25*AO31</f>
        <v>147015.34534999999</v>
      </c>
      <c r="AQ31" s="66">
        <v>0.20599999999999999</v>
      </c>
      <c r="AR31" s="4">
        <f>+AR$25*AQ31</f>
        <v>109935.34534999999</v>
      </c>
      <c r="AS31" s="66">
        <v>0.20599999999999999</v>
      </c>
      <c r="AT31" s="4">
        <f>+AT$25*AS31</f>
        <v>186466.30063333333</v>
      </c>
      <c r="AU31" s="66"/>
      <c r="AV31" s="4"/>
      <c r="AW31" s="4"/>
      <c r="AX31" s="4" t="s">
        <v>12</v>
      </c>
      <c r="AY31" s="66">
        <v>0.20599999999999999</v>
      </c>
      <c r="AZ31" s="4">
        <f>+AZ$25*AY31</f>
        <v>186694.41024648398</v>
      </c>
    </row>
    <row r="32" spans="1:57" ht="15" x14ac:dyDescent="0.25">
      <c r="A32" s="6" t="s">
        <v>15</v>
      </c>
      <c r="B32" s="8">
        <f>+B30+B31</f>
        <v>0.5</v>
      </c>
      <c r="C32" s="6">
        <f>+C$25*B32</f>
        <v>310961.935</v>
      </c>
      <c r="D32" s="4"/>
      <c r="E32" s="8">
        <f>+E30+E31</f>
        <v>0.5</v>
      </c>
      <c r="F32" s="6">
        <f>+F$25*E32</f>
        <v>351450.34</v>
      </c>
      <c r="G32" s="6"/>
      <c r="H32" s="8">
        <f>+H30+H31</f>
        <v>0.5</v>
      </c>
      <c r="I32" s="6">
        <f>+I$25*H32</f>
        <v>376415.92500000005</v>
      </c>
      <c r="J32" s="6"/>
      <c r="K32" s="8">
        <f>+K30+K31</f>
        <v>0.5</v>
      </c>
      <c r="L32" s="6">
        <f>+L$25*K32</f>
        <v>381947.64500000002</v>
      </c>
      <c r="M32" s="6"/>
      <c r="N32" s="7">
        <v>0.39410000000000001</v>
      </c>
      <c r="O32" s="4">
        <f>+O$22*N32</f>
        <v>331089.55796000006</v>
      </c>
      <c r="P32" s="4"/>
      <c r="Q32" s="4" t="s">
        <v>13</v>
      </c>
      <c r="R32" s="7">
        <v>0.39410000000000001</v>
      </c>
      <c r="S32" s="4">
        <f>+S$23*R32</f>
        <v>324061.6094426667</v>
      </c>
      <c r="T32" s="66">
        <v>0.39410000000000001</v>
      </c>
      <c r="U32" s="4">
        <f>+U$23*T32</f>
        <v>270858.1094426667</v>
      </c>
      <c r="V32" s="66">
        <v>0.39410000000000001</v>
      </c>
      <c r="W32" s="4">
        <f>+W$23*V32</f>
        <v>276649.36821900005</v>
      </c>
      <c r="X32" s="66">
        <v>0.39410000000000001</v>
      </c>
      <c r="Y32" s="4">
        <f>+Y$23*X32</f>
        <v>329852.86821900005</v>
      </c>
      <c r="Z32" s="66">
        <v>0.39410000000000001</v>
      </c>
      <c r="AA32" s="4">
        <f>+AA$23*Z32</f>
        <v>325680.27404033334</v>
      </c>
      <c r="AB32" s="66">
        <v>0.39410000000000001</v>
      </c>
      <c r="AC32" s="4">
        <f>+AC$23*AB32</f>
        <v>327467.96155966673</v>
      </c>
      <c r="AD32" s="4"/>
      <c r="AE32" s="6" t="s">
        <v>15</v>
      </c>
      <c r="AF32" s="67">
        <f>+AF30+AF31</f>
        <v>0.5</v>
      </c>
      <c r="AG32" s="6">
        <f>+AG$25*AF32</f>
        <v>420060.05833333335</v>
      </c>
      <c r="AH32" s="67">
        <f>+AH30+AH31</f>
        <v>0.5</v>
      </c>
      <c r="AI32" s="6">
        <f>+AI$25*AH32</f>
        <v>439461.2</v>
      </c>
      <c r="AJ32" s="67">
        <f>+AJ30+AJ31</f>
        <v>0.5</v>
      </c>
      <c r="AK32" s="6">
        <f>+AK$25*AJ32</f>
        <v>424461.2</v>
      </c>
      <c r="AL32" s="6" t="s">
        <v>15</v>
      </c>
      <c r="AM32" s="67">
        <f>+AM30+AM31</f>
        <v>0.5</v>
      </c>
      <c r="AN32" s="6">
        <f>+AN$25*AM32</f>
        <v>283806.08833333332</v>
      </c>
      <c r="AO32" s="67">
        <f>+AO30+AO31</f>
        <v>0.5</v>
      </c>
      <c r="AP32" s="6">
        <f>+AP$25*AO32</f>
        <v>356833.36249999999</v>
      </c>
      <c r="AQ32" s="67">
        <f>+AQ30+AQ31</f>
        <v>0.5</v>
      </c>
      <c r="AR32" s="6">
        <f>+AR$25*AQ32</f>
        <v>266833.36249999999</v>
      </c>
      <c r="AS32" s="67">
        <f>+AS30+AS31</f>
        <v>0.5</v>
      </c>
      <c r="AT32" s="6">
        <f>+AT$25*AS32</f>
        <v>452588.10833333334</v>
      </c>
      <c r="AU32" s="67"/>
      <c r="AV32" s="6"/>
      <c r="AW32" s="6"/>
      <c r="AX32" s="6" t="s">
        <v>15</v>
      </c>
      <c r="AY32" s="67">
        <f>+AY30+AY31</f>
        <v>0.5</v>
      </c>
      <c r="AZ32" s="6">
        <f>+AZ$25*AY32</f>
        <v>453141.77244292235</v>
      </c>
    </row>
    <row r="33" spans="1:52" ht="15" x14ac:dyDescent="0.25">
      <c r="A33" s="4"/>
      <c r="B33" s="7"/>
      <c r="C33" s="4"/>
      <c r="D33" s="4"/>
      <c r="E33" s="7"/>
      <c r="F33" s="4"/>
      <c r="G33" s="4"/>
      <c r="H33" s="7"/>
      <c r="I33" s="4"/>
      <c r="J33" s="4"/>
      <c r="K33" s="7"/>
      <c r="L33" s="4"/>
      <c r="M33" s="4"/>
      <c r="N33" s="7">
        <v>0.10589999999999999</v>
      </c>
      <c r="O33" s="4">
        <f>+O$22*N33</f>
        <v>88968.242040000012</v>
      </c>
      <c r="P33" s="4"/>
      <c r="Q33" s="4" t="s">
        <v>14</v>
      </c>
      <c r="R33" s="7">
        <v>0.10589999999999999</v>
      </c>
      <c r="S33" s="4">
        <f>+S$23*R33</f>
        <v>87079.737223999997</v>
      </c>
      <c r="T33" s="66">
        <v>0.10589999999999999</v>
      </c>
      <c r="U33" s="4">
        <f>+U$23*T33</f>
        <v>72783.237223999997</v>
      </c>
      <c r="V33" s="66">
        <v>0.10589999999999999</v>
      </c>
      <c r="W33" s="4">
        <f>+W$23*V33</f>
        <v>74339.426781000002</v>
      </c>
      <c r="X33" s="66">
        <v>0.10589999999999999</v>
      </c>
      <c r="Y33" s="4">
        <f>+Y$23*X33</f>
        <v>88635.926781000002</v>
      </c>
      <c r="Z33" s="66">
        <v>0.10589999999999999</v>
      </c>
      <c r="AA33" s="4">
        <f>+AA$23*Z33</f>
        <v>87514.694292999993</v>
      </c>
      <c r="AB33" s="66">
        <v>0.10589999999999999</v>
      </c>
      <c r="AC33" s="4">
        <f>+AC$23*AB33</f>
        <v>87995.070107000007</v>
      </c>
      <c r="AD33" s="4"/>
      <c r="AE33" s="4"/>
      <c r="AF33" s="66"/>
      <c r="AG33" s="4"/>
      <c r="AH33" s="66"/>
      <c r="AI33" s="4"/>
      <c r="AJ33" s="66"/>
      <c r="AK33" s="4"/>
      <c r="AL33" s="4"/>
      <c r="AM33" s="66"/>
      <c r="AN33" s="4"/>
      <c r="AO33" s="66"/>
      <c r="AP33" s="4"/>
      <c r="AQ33" s="66"/>
      <c r="AR33" s="4"/>
      <c r="AS33" s="66"/>
      <c r="AT33" s="4"/>
      <c r="AU33" s="66"/>
      <c r="AV33" s="4"/>
      <c r="AW33" s="4"/>
      <c r="AX33" s="4"/>
      <c r="AY33" s="66"/>
      <c r="AZ33" s="4"/>
    </row>
    <row r="34" spans="1:52" ht="15" x14ac:dyDescent="0.25">
      <c r="A34" s="4" t="s">
        <v>13</v>
      </c>
      <c r="B34" s="7">
        <v>0.39410000000000001</v>
      </c>
      <c r="C34" s="4">
        <f>+C$25*B34</f>
        <v>245100.19716700001</v>
      </c>
      <c r="D34" s="4"/>
      <c r="E34" s="7">
        <v>0.39410000000000001</v>
      </c>
      <c r="F34" s="4">
        <f>+F$25*E34</f>
        <v>277013.15798800002</v>
      </c>
      <c r="G34" s="4"/>
      <c r="H34" s="7">
        <v>0.39410000000000001</v>
      </c>
      <c r="I34" s="4">
        <f>+I$25*H34</f>
        <v>296691.03208500001</v>
      </c>
      <c r="J34" s="4"/>
      <c r="K34" s="7">
        <v>0.39410000000000001</v>
      </c>
      <c r="L34" s="4">
        <f>+L$25*K34</f>
        <v>301051.13378900004</v>
      </c>
      <c r="M34" s="4"/>
      <c r="N34" s="8">
        <f>+N32+N33</f>
        <v>0.5</v>
      </c>
      <c r="O34" s="6">
        <f>+O$22*N34</f>
        <v>420057.80000000005</v>
      </c>
      <c r="P34" s="6"/>
      <c r="Q34" s="6" t="s">
        <v>16</v>
      </c>
      <c r="R34" s="8">
        <f>+R32+R33</f>
        <v>0.5</v>
      </c>
      <c r="S34" s="6">
        <f>+S$23*R34</f>
        <v>411141.34666666668</v>
      </c>
      <c r="T34" s="67">
        <f>+T32+T33</f>
        <v>0.5</v>
      </c>
      <c r="U34" s="6">
        <f>+U$23*T34</f>
        <v>343641.34666666668</v>
      </c>
      <c r="V34" s="67">
        <f>+V32+V33</f>
        <v>0.5</v>
      </c>
      <c r="W34" s="6">
        <f>+W$23*V34</f>
        <v>350988.79500000004</v>
      </c>
      <c r="X34" s="67">
        <f>+X32+X33</f>
        <v>0.5</v>
      </c>
      <c r="Y34" s="6">
        <f>+Y$23*X34</f>
        <v>418488.79500000004</v>
      </c>
      <c r="Z34" s="67">
        <f>+Z32+Z33</f>
        <v>0.5</v>
      </c>
      <c r="AA34" s="6">
        <f>+AA$23*Z34</f>
        <v>413194.96833333332</v>
      </c>
      <c r="AB34" s="67">
        <f>+AB32+AB33</f>
        <v>0.5</v>
      </c>
      <c r="AC34" s="6">
        <f>+AC$23*AB34</f>
        <v>415463.03166666673</v>
      </c>
      <c r="AD34" s="6"/>
      <c r="AE34" s="4" t="s">
        <v>13</v>
      </c>
      <c r="AF34" s="66">
        <v>0.39410000000000001</v>
      </c>
      <c r="AG34" s="4">
        <f>+AG$25*AF34</f>
        <v>331091.33797833335</v>
      </c>
      <c r="AH34" s="66">
        <v>0.39410000000000001</v>
      </c>
      <c r="AI34" s="4">
        <f>+AI$25*AH34</f>
        <v>346383.31784000003</v>
      </c>
      <c r="AJ34" s="66">
        <v>0.39410000000000001</v>
      </c>
      <c r="AK34" s="4">
        <f>+AK$25*AJ34</f>
        <v>334560.31784000003</v>
      </c>
      <c r="AL34" s="4" t="s">
        <v>13</v>
      </c>
      <c r="AM34" s="66">
        <v>0.39410000000000001</v>
      </c>
      <c r="AN34" s="4">
        <f>+AN$25*AM34</f>
        <v>223695.95882433333</v>
      </c>
      <c r="AO34" s="66">
        <v>0.39410000000000001</v>
      </c>
      <c r="AP34" s="4">
        <f>+AP$25*AO34</f>
        <v>281256.05632249999</v>
      </c>
      <c r="AQ34" s="66">
        <v>0.39410000000000001</v>
      </c>
      <c r="AR34" s="4">
        <f>+AR$25*AQ34</f>
        <v>210318.05632249999</v>
      </c>
      <c r="AS34" s="66">
        <v>0.39410000000000001</v>
      </c>
      <c r="AT34" s="4">
        <f>+AT$25*AS34</f>
        <v>356729.94698833337</v>
      </c>
      <c r="AU34" s="66"/>
      <c r="AV34" s="4"/>
      <c r="AW34" s="4"/>
      <c r="AX34" s="4" t="s">
        <v>13</v>
      </c>
      <c r="AY34" s="66">
        <v>0.39410000000000001</v>
      </c>
      <c r="AZ34" s="4">
        <f>+AZ$25*AY34</f>
        <v>357166.34503951139</v>
      </c>
    </row>
    <row r="35" spans="1:52" ht="15" x14ac:dyDescent="0.25">
      <c r="A35" s="4" t="s">
        <v>14</v>
      </c>
      <c r="B35" s="7">
        <v>0.10589999999999999</v>
      </c>
      <c r="C35" s="4">
        <f>+C$25*B35</f>
        <v>65861.737832999992</v>
      </c>
      <c r="D35" s="4"/>
      <c r="E35" s="7">
        <v>0.10589999999999999</v>
      </c>
      <c r="F35" s="4">
        <f>+F$25*E35</f>
        <v>74437.182012000005</v>
      </c>
      <c r="G35" s="4"/>
      <c r="H35" s="7">
        <v>0.10589999999999999</v>
      </c>
      <c r="I35" s="4">
        <f>+I$25*H35</f>
        <v>79724.892915000004</v>
      </c>
      <c r="J35" s="4"/>
      <c r="K35" s="7">
        <v>0.10589999999999999</v>
      </c>
      <c r="L35" s="4">
        <f>+L$25*K35</f>
        <v>80896.511211000005</v>
      </c>
      <c r="M35" s="4"/>
      <c r="Q35" s="4"/>
      <c r="T35" s="62"/>
      <c r="V35" s="62"/>
      <c r="X35" s="62"/>
      <c r="Z35" s="62"/>
      <c r="AB35" s="62"/>
      <c r="AE35" s="4" t="s">
        <v>14</v>
      </c>
      <c r="AF35" s="66">
        <v>0.10589999999999999</v>
      </c>
      <c r="AG35" s="4">
        <f>+AG$25*AF35</f>
        <v>88968.720354999998</v>
      </c>
      <c r="AH35" s="66">
        <v>0.10589999999999999</v>
      </c>
      <c r="AI35" s="4">
        <f>+AI$25*AH35</f>
        <v>93077.882159999994</v>
      </c>
      <c r="AJ35" s="66">
        <v>0.10589999999999999</v>
      </c>
      <c r="AK35" s="4">
        <f>+AK$25*AJ35</f>
        <v>89900.882159999994</v>
      </c>
      <c r="AL35" s="4" t="s">
        <v>14</v>
      </c>
      <c r="AM35" s="66">
        <v>0.10589999999999999</v>
      </c>
      <c r="AN35" s="4">
        <f>+AN$25*AM35</f>
        <v>60110.129508999991</v>
      </c>
      <c r="AO35" s="66">
        <v>0.10589999999999999</v>
      </c>
      <c r="AP35" s="4">
        <f>+AP$25*AO35</f>
        <v>75577.306177499995</v>
      </c>
      <c r="AQ35" s="66">
        <v>0.10589999999999999</v>
      </c>
      <c r="AR35" s="4">
        <f>+AR$25*AQ35</f>
        <v>56515.306177499995</v>
      </c>
      <c r="AS35" s="66">
        <v>0.10589999999999999</v>
      </c>
      <c r="AT35" s="4">
        <f>+AT$25*AS35</f>
        <v>95858.161345</v>
      </c>
      <c r="AU35" s="66"/>
      <c r="AV35" s="4"/>
      <c r="AW35" s="4"/>
      <c r="AX35" s="4" t="s">
        <v>14</v>
      </c>
      <c r="AY35" s="66">
        <v>0.10589999999999999</v>
      </c>
      <c r="AZ35" s="4">
        <f>+AZ$25*AY35</f>
        <v>95975.42740341094</v>
      </c>
    </row>
    <row r="36" spans="1:52" ht="15" x14ac:dyDescent="0.25">
      <c r="A36" s="6" t="s">
        <v>16</v>
      </c>
      <c r="B36" s="8">
        <f>+B34+B35</f>
        <v>0.5</v>
      </c>
      <c r="C36" s="6">
        <f>+C$25*B36</f>
        <v>310961.935</v>
      </c>
      <c r="D36" s="4"/>
      <c r="E36" s="8">
        <f>+E34+E35</f>
        <v>0.5</v>
      </c>
      <c r="F36" s="6">
        <f>+F$25*E36</f>
        <v>351450.34</v>
      </c>
      <c r="G36" s="6"/>
      <c r="H36" s="8">
        <f>+H34+H35</f>
        <v>0.5</v>
      </c>
      <c r="I36" s="6">
        <f>+I$25*H36</f>
        <v>376415.92500000005</v>
      </c>
      <c r="J36" s="6"/>
      <c r="K36" s="8">
        <f>+K34+K35</f>
        <v>0.5</v>
      </c>
      <c r="L36" s="6">
        <f>+L$25*K36</f>
        <v>381947.64500000002</v>
      </c>
      <c r="M36" s="6"/>
      <c r="N36" s="3">
        <f>+O34+O30</f>
        <v>840115.60000000009</v>
      </c>
      <c r="O36" s="3"/>
      <c r="P36" s="3"/>
      <c r="Q36" s="4" t="s">
        <v>25</v>
      </c>
      <c r="R36" s="3">
        <f>+S34+S30</f>
        <v>822282.69333333336</v>
      </c>
      <c r="S36" s="3"/>
      <c r="T36" s="68">
        <f>+U34+U30</f>
        <v>687282.69333333336</v>
      </c>
      <c r="U36" s="3"/>
      <c r="V36" s="68">
        <f>+W34+W30</f>
        <v>701977.59000000008</v>
      </c>
      <c r="W36" s="3"/>
      <c r="X36" s="68">
        <f>+Y34+Y30</f>
        <v>836977.59000000008</v>
      </c>
      <c r="Y36" s="3"/>
      <c r="Z36" s="68">
        <f>+AA34+AA30</f>
        <v>826389.93666666665</v>
      </c>
      <c r="AA36" s="3"/>
      <c r="AB36" s="68">
        <f>+AC34+AC30</f>
        <v>830926.06333333347</v>
      </c>
      <c r="AC36" s="3"/>
      <c r="AD36" s="3"/>
      <c r="AE36" s="6" t="s">
        <v>16</v>
      </c>
      <c r="AF36" s="67">
        <f>+AF34+AF35</f>
        <v>0.5</v>
      </c>
      <c r="AG36" s="6">
        <f>+AG$25*AF36</f>
        <v>420060.05833333335</v>
      </c>
      <c r="AH36" s="67">
        <f>+AH34+AH35</f>
        <v>0.5</v>
      </c>
      <c r="AI36" s="6">
        <f>+AI$25*AH36</f>
        <v>439461.2</v>
      </c>
      <c r="AJ36" s="67">
        <f>+AJ34+AJ35</f>
        <v>0.5</v>
      </c>
      <c r="AK36" s="6">
        <f>+AK$25*AJ36</f>
        <v>424461.2</v>
      </c>
      <c r="AL36" s="6" t="s">
        <v>16</v>
      </c>
      <c r="AM36" s="67">
        <f>+AM34+AM35</f>
        <v>0.5</v>
      </c>
      <c r="AN36" s="6">
        <f>+AN$25*AM36</f>
        <v>283806.08833333332</v>
      </c>
      <c r="AO36" s="67">
        <f>+AO34+AO35</f>
        <v>0.5</v>
      </c>
      <c r="AP36" s="6">
        <f>+AP$25*AO36</f>
        <v>356833.36249999999</v>
      </c>
      <c r="AQ36" s="67">
        <f>+AQ34+AQ35</f>
        <v>0.5</v>
      </c>
      <c r="AR36" s="6">
        <f>+AR$25*AQ36</f>
        <v>266833.36249999999</v>
      </c>
      <c r="AS36" s="67">
        <f>+AS34+AS35</f>
        <v>0.5</v>
      </c>
      <c r="AT36" s="6">
        <f>+AT$25*AS36</f>
        <v>452588.10833333334</v>
      </c>
      <c r="AU36" s="67"/>
      <c r="AV36" s="6"/>
      <c r="AW36" s="6"/>
      <c r="AX36" s="6" t="s">
        <v>16</v>
      </c>
      <c r="AY36" s="67">
        <f>+AY34+AY35</f>
        <v>0.5</v>
      </c>
      <c r="AZ36" s="6">
        <f>+AZ$25*AY36</f>
        <v>453141.77244292235</v>
      </c>
    </row>
    <row r="37" spans="1:52" ht="15" x14ac:dyDescent="0.25">
      <c r="A37" s="4"/>
      <c r="B37" s="4"/>
      <c r="C37" s="4"/>
      <c r="D37" s="4"/>
      <c r="AE37" s="4"/>
      <c r="AF37" s="62"/>
      <c r="AH37" s="62"/>
      <c r="AJ37" s="62"/>
      <c r="AL37" s="4"/>
      <c r="AM37" s="62"/>
      <c r="AO37" s="62"/>
      <c r="AQ37" s="62"/>
      <c r="AS37" s="62"/>
      <c r="AU37" s="62"/>
    </row>
    <row r="38" spans="1:52" ht="15" x14ac:dyDescent="0.25">
      <c r="A38" s="4" t="s">
        <v>25</v>
      </c>
      <c r="C38" s="3">
        <f>+C36+C32</f>
        <v>621923.87</v>
      </c>
      <c r="F38" s="3">
        <f>+F36+F32</f>
        <v>702900.68</v>
      </c>
      <c r="G38" s="3"/>
      <c r="I38" s="3">
        <f>+I36+I32</f>
        <v>752831.85000000009</v>
      </c>
      <c r="J38" s="3"/>
      <c r="L38" s="3">
        <f>+L36+L32</f>
        <v>763895.29</v>
      </c>
      <c r="M38" s="3"/>
      <c r="AE38" s="4" t="s">
        <v>25</v>
      </c>
      <c r="AF38" s="68">
        <f>+AG36+AG32</f>
        <v>840120.1166666667</v>
      </c>
      <c r="AG38" s="3"/>
      <c r="AH38" s="77" t="s">
        <v>44</v>
      </c>
      <c r="AI38" s="3">
        <f>+AI36</f>
        <v>439461.2</v>
      </c>
      <c r="AJ38" s="77" t="s">
        <v>44</v>
      </c>
      <c r="AK38" s="3">
        <f>+AK36</f>
        <v>424461.2</v>
      </c>
      <c r="AL38" s="4" t="s">
        <v>25</v>
      </c>
      <c r="AM38" s="68">
        <f>+AN36+AN32</f>
        <v>567612.17666666664</v>
      </c>
      <c r="AN38" s="3"/>
      <c r="AO38" s="77" t="s">
        <v>44</v>
      </c>
      <c r="AP38" s="3">
        <f>+AP36</f>
        <v>356833.36249999999</v>
      </c>
      <c r="AQ38" s="77" t="s">
        <v>44</v>
      </c>
      <c r="AR38" s="3">
        <f>+AR36</f>
        <v>266833.36249999999</v>
      </c>
      <c r="AS38" s="77" t="s">
        <v>44</v>
      </c>
      <c r="AT38" s="3">
        <f>+AT36</f>
        <v>452588.10833333334</v>
      </c>
      <c r="AU38" s="77" t="s">
        <v>44</v>
      </c>
      <c r="AV38" s="3">
        <f>+AV36</f>
        <v>0</v>
      </c>
      <c r="AW38" s="3"/>
      <c r="AX38" s="3"/>
    </row>
    <row r="39" spans="1:52" x14ac:dyDescent="0.2">
      <c r="W39" s="3"/>
      <c r="Y39" s="3"/>
      <c r="Z39" s="3"/>
      <c r="AB39" s="77"/>
      <c r="AE39" s="71"/>
      <c r="AF39" s="71"/>
      <c r="AH39" s="71" t="s">
        <v>45</v>
      </c>
      <c r="AI39" s="3" t="e">
        <f>+#REF!</f>
        <v>#REF!</v>
      </c>
      <c r="AJ39" s="71" t="s">
        <v>45</v>
      </c>
      <c r="AK39" s="3">
        <f>+AJ6</f>
        <v>114865.43000000002</v>
      </c>
      <c r="AL39" s="71"/>
      <c r="AM39" s="71"/>
      <c r="AO39" s="71" t="s">
        <v>45</v>
      </c>
      <c r="AP39" s="3" t="e">
        <f>+#REF!</f>
        <v>#REF!</v>
      </c>
      <c r="AQ39" s="71" t="s">
        <v>45</v>
      </c>
      <c r="AR39" s="3">
        <f>+AQ6</f>
        <v>93847.930000000022</v>
      </c>
      <c r="AS39" s="71" t="s">
        <v>45</v>
      </c>
      <c r="AT39" s="3" t="e">
        <f>+#REF!</f>
        <v>#REF!</v>
      </c>
      <c r="AU39" s="71" t="s">
        <v>45</v>
      </c>
      <c r="AV39" s="3">
        <f>+AU6</f>
        <v>0</v>
      </c>
      <c r="AW39" s="3"/>
      <c r="AX39" s="3"/>
    </row>
    <row r="40" spans="1:52" x14ac:dyDescent="0.2">
      <c r="AE40" s="77"/>
      <c r="AF40" s="77"/>
      <c r="AH40" t="s">
        <v>46</v>
      </c>
      <c r="AI40" s="3" t="e">
        <f>+AI38-AI39</f>
        <v>#REF!</v>
      </c>
      <c r="AJ40" t="s">
        <v>46</v>
      </c>
      <c r="AK40" s="3">
        <f>+AK38-AK39</f>
        <v>309595.77</v>
      </c>
      <c r="AL40" s="77"/>
      <c r="AM40" s="77"/>
      <c r="AO40" t="s">
        <v>46</v>
      </c>
      <c r="AP40" s="3" t="e">
        <f>+AP38-AP39</f>
        <v>#REF!</v>
      </c>
      <c r="AQ40" t="s">
        <v>46</v>
      </c>
      <c r="AR40" s="3">
        <f>+AR38-AR39</f>
        <v>172985.43249999997</v>
      </c>
      <c r="AS40" t="s">
        <v>46</v>
      </c>
      <c r="AT40" s="3" t="e">
        <f>+AT38-AT39</f>
        <v>#REF!</v>
      </c>
      <c r="AU40" t="s">
        <v>46</v>
      </c>
      <c r="AV40" s="3">
        <f>+AV38-AV39</f>
        <v>0</v>
      </c>
      <c r="AW40" s="3"/>
      <c r="AX40" s="3"/>
    </row>
    <row r="41" spans="1:52" x14ac:dyDescent="0.2">
      <c r="V41" s="71"/>
      <c r="X41" s="71"/>
      <c r="AB41" s="71"/>
      <c r="AC41" s="71"/>
      <c r="AE41" s="71"/>
      <c r="AF41" s="71"/>
      <c r="AG41" s="3"/>
      <c r="AH41" s="3"/>
      <c r="AI41" s="3"/>
      <c r="AJ41" s="3"/>
      <c r="AK41" s="3"/>
      <c r="AL41" s="71"/>
      <c r="AM41" s="71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2" x14ac:dyDescent="0.2">
      <c r="V42" s="71"/>
      <c r="X42" s="71"/>
      <c r="AB42" s="80"/>
      <c r="AC42" s="80"/>
      <c r="AG42" s="78"/>
      <c r="AH42" s="78"/>
      <c r="AI42" s="78"/>
      <c r="AJ42" s="78"/>
      <c r="AK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</row>
    <row r="43" spans="1:52" x14ac:dyDescent="0.2">
      <c r="AB43" s="80"/>
      <c r="AC43" s="80"/>
      <c r="AG43" s="3"/>
      <c r="AH43" s="77" t="s">
        <v>47</v>
      </c>
      <c r="AI43" s="3">
        <f>+AI36</f>
        <v>439461.2</v>
      </c>
      <c r="AJ43" s="77" t="s">
        <v>47</v>
      </c>
      <c r="AK43" s="3">
        <f>+AK36</f>
        <v>424461.2</v>
      </c>
      <c r="AN43" s="3"/>
      <c r="AO43" s="77" t="s">
        <v>47</v>
      </c>
      <c r="AP43" s="3">
        <f>+AP36</f>
        <v>356833.36249999999</v>
      </c>
      <c r="AQ43" s="77" t="s">
        <v>47</v>
      </c>
      <c r="AR43" s="3">
        <f>+AR36</f>
        <v>266833.36249999999</v>
      </c>
      <c r="AS43" s="77" t="s">
        <v>47</v>
      </c>
      <c r="AT43" s="3">
        <f>+AT36</f>
        <v>452588.10833333334</v>
      </c>
      <c r="AU43" s="77" t="s">
        <v>47</v>
      </c>
      <c r="AV43" s="3">
        <f>+AV36</f>
        <v>0</v>
      </c>
      <c r="AW43" s="3"/>
      <c r="AX43" s="3"/>
    </row>
    <row r="44" spans="1:52" x14ac:dyDescent="0.2">
      <c r="AB44" s="80"/>
      <c r="AC44" s="80"/>
      <c r="AH44" s="71" t="s">
        <v>48</v>
      </c>
      <c r="AI44" s="3">
        <f>+AH13</f>
        <v>150000</v>
      </c>
      <c r="AJ44" s="71" t="s">
        <v>48</v>
      </c>
      <c r="AK44" s="3">
        <f>+AJ13</f>
        <v>150000</v>
      </c>
      <c r="AO44" s="71" t="s">
        <v>48</v>
      </c>
      <c r="AP44" s="3">
        <f>+AO13</f>
        <v>140625</v>
      </c>
      <c r="AQ44" s="71" t="s">
        <v>48</v>
      </c>
      <c r="AR44" s="3">
        <f>+AQ13</f>
        <v>140625</v>
      </c>
      <c r="AS44" s="71" t="s">
        <v>48</v>
      </c>
      <c r="AT44" s="3">
        <f>+AS13</f>
        <v>121875</v>
      </c>
      <c r="AU44" s="71" t="s">
        <v>48</v>
      </c>
      <c r="AV44" s="3">
        <f>+AU13</f>
        <v>0</v>
      </c>
      <c r="AW44" s="3"/>
      <c r="AX44" s="3"/>
    </row>
    <row r="45" spans="1:52" x14ac:dyDescent="0.2">
      <c r="AB45" s="80"/>
      <c r="AC45" s="80"/>
      <c r="AH45" s="71" t="s">
        <v>49</v>
      </c>
      <c r="AI45" s="3">
        <f>+AI43-AI44</f>
        <v>289461.2</v>
      </c>
      <c r="AJ45" s="71" t="s">
        <v>49</v>
      </c>
      <c r="AK45" s="3">
        <f>+AK43-AK44</f>
        <v>274461.2</v>
      </c>
      <c r="AO45" s="71" t="s">
        <v>49</v>
      </c>
      <c r="AP45" s="3">
        <f>+AP43-AP44</f>
        <v>216208.36249999999</v>
      </c>
      <c r="AQ45" s="71" t="s">
        <v>49</v>
      </c>
      <c r="AR45" s="3">
        <f>+AR43-AR44</f>
        <v>126208.36249999999</v>
      </c>
      <c r="AS45" s="71" t="s">
        <v>49</v>
      </c>
      <c r="AT45" s="3">
        <f>+AT43-AT44</f>
        <v>330713.10833333334</v>
      </c>
      <c r="AU45" s="71" t="s">
        <v>49</v>
      </c>
      <c r="AV45" s="3">
        <f>+AV43-AV44</f>
        <v>0</v>
      </c>
      <c r="AW45" s="3"/>
      <c r="AX45" s="3"/>
    </row>
    <row r="46" spans="1:52" x14ac:dyDescent="0.2">
      <c r="AB46" s="81"/>
      <c r="AC46" s="81"/>
      <c r="AH46" t="s">
        <v>50</v>
      </c>
      <c r="AI46" s="83">
        <f>+(AI45+AI44)/AH5</f>
        <v>0.73243533333333333</v>
      </c>
      <c r="AJ46" t="s">
        <v>50</v>
      </c>
      <c r="AK46" s="83">
        <f>+(AK45+AK44)/AJ5</f>
        <v>0.74466877192982461</v>
      </c>
      <c r="AO46" t="s">
        <v>50</v>
      </c>
      <c r="AP46" s="83">
        <f>+(AP45+AP44)/AO5</f>
        <v>0.59472227083333329</v>
      </c>
      <c r="AQ46" t="s">
        <v>50</v>
      </c>
      <c r="AR46" s="83">
        <f>+(AR45+AR44)/AQ5</f>
        <v>0.6353175297619047</v>
      </c>
      <c r="AS46" t="s">
        <v>50</v>
      </c>
      <c r="AT46" s="83">
        <f>+(AT45+AT44)/AS5</f>
        <v>0.7543135138888889</v>
      </c>
      <c r="AU46" t="s">
        <v>50</v>
      </c>
      <c r="AV46" s="83" t="e">
        <f>+(AV45+AV44)/AU5</f>
        <v>#DIV/0!</v>
      </c>
      <c r="AW46" s="83"/>
      <c r="AX46" s="83"/>
    </row>
    <row r="47" spans="1:52" x14ac:dyDescent="0.2">
      <c r="AB47" s="71"/>
      <c r="AC47" s="71"/>
      <c r="AH47" t="s">
        <v>51</v>
      </c>
      <c r="AI47" s="3">
        <f>(AH5*65%)-AI44</f>
        <v>240000</v>
      </c>
      <c r="AJ47" t="s">
        <v>51</v>
      </c>
      <c r="AK47" s="3">
        <f>(AJ5*65%)-AK44</f>
        <v>220500</v>
      </c>
      <c r="AO47" t="s">
        <v>51</v>
      </c>
      <c r="AP47" s="3">
        <f>(AO5*65%)-AP44</f>
        <v>249375</v>
      </c>
      <c r="AQ47" t="s">
        <v>51</v>
      </c>
      <c r="AR47" s="3">
        <f>(AQ5*65%)-AR44</f>
        <v>132375</v>
      </c>
      <c r="AS47" t="s">
        <v>51</v>
      </c>
      <c r="AT47" s="3">
        <f>(AS5*65%)-AT44</f>
        <v>268125</v>
      </c>
      <c r="AU47" t="s">
        <v>51</v>
      </c>
      <c r="AV47" s="3">
        <f>(AU5*65%)-AV44</f>
        <v>0</v>
      </c>
      <c r="AW47" s="3"/>
      <c r="AX47" s="3"/>
    </row>
  </sheetData>
  <mergeCells count="19">
    <mergeCell ref="AY3:AZ3"/>
    <mergeCell ref="V3:W3"/>
    <mergeCell ref="X3:Y3"/>
    <mergeCell ref="B3:C3"/>
    <mergeCell ref="E3:F3"/>
    <mergeCell ref="H3:I3"/>
    <mergeCell ref="R3:S3"/>
    <mergeCell ref="T3:U3"/>
    <mergeCell ref="AU14:AW15"/>
    <mergeCell ref="Z3:AA3"/>
    <mergeCell ref="AB3:AC3"/>
    <mergeCell ref="AF3:AG3"/>
    <mergeCell ref="AJ3:AK3"/>
    <mergeCell ref="AH3:AI3"/>
    <mergeCell ref="AM3:AN3"/>
    <mergeCell ref="AO3:AP3"/>
    <mergeCell ref="AS3:AT3"/>
    <mergeCell ref="AU3:AV3"/>
    <mergeCell ref="AQ3:AR3"/>
  </mergeCells>
  <phoneticPr fontId="0" type="noConversion"/>
  <pageMargins left="0.25" right="0.25" top="0.75" bottom="0.75" header="0.3" footer="0.3"/>
  <pageSetup paperSize="9" scale="93" orientation="portrait" r:id="rId1"/>
  <rowBreaks count="1" manualBreakCount="1">
    <brk id="36" max="16383" man="1"/>
  </rowBreaks>
  <colBreaks count="1" manualBreakCount="1">
    <brk id="49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2"/>
  <sheetViews>
    <sheetView view="pageBreakPreview" workbookViewId="0">
      <selection activeCell="I20" sqref="I20"/>
    </sheetView>
  </sheetViews>
  <sheetFormatPr defaultColWidth="8.85546875" defaultRowHeight="12.75" x14ac:dyDescent="0.2"/>
  <cols>
    <col min="1" max="1" width="44.28515625" bestFit="1" customWidth="1"/>
    <col min="2" max="2" width="1.42578125" customWidth="1"/>
    <col min="3" max="3" width="12.28515625" style="84" bestFit="1" customWidth="1"/>
    <col min="4" max="4" width="14.5703125" bestFit="1" customWidth="1"/>
    <col min="5" max="5" width="15.42578125" bestFit="1" customWidth="1"/>
    <col min="6" max="6" width="15.42578125" style="96" customWidth="1"/>
    <col min="7" max="7" width="32.140625" bestFit="1" customWidth="1"/>
    <col min="8" max="8" width="7.140625" bestFit="1" customWidth="1"/>
    <col min="9" max="9" width="12.28515625" bestFit="1" customWidth="1"/>
    <col min="10" max="10" width="21.140625" bestFit="1" customWidth="1"/>
    <col min="11" max="11" width="15.42578125" bestFit="1" customWidth="1"/>
  </cols>
  <sheetData>
    <row r="1" spans="1:10" ht="15" x14ac:dyDescent="0.25">
      <c r="A1" s="132">
        <f>'Pension Value'!AS3</f>
        <v>42670</v>
      </c>
      <c r="G1" s="132">
        <f>'Pension Value'!AY3</f>
        <v>42679</v>
      </c>
    </row>
    <row r="3" spans="1:10" x14ac:dyDescent="0.2">
      <c r="A3" t="s">
        <v>57</v>
      </c>
      <c r="G3" t="s">
        <v>57</v>
      </c>
      <c r="I3" s="84"/>
    </row>
    <row r="4" spans="1:10" x14ac:dyDescent="0.2">
      <c r="C4" s="85"/>
      <c r="I4" s="85"/>
    </row>
    <row r="5" spans="1:10" x14ac:dyDescent="0.2">
      <c r="A5" t="s">
        <v>52</v>
      </c>
      <c r="C5" s="89">
        <v>600000</v>
      </c>
      <c r="G5" t="s">
        <v>52</v>
      </c>
      <c r="I5" s="89">
        <v>600000</v>
      </c>
    </row>
    <row r="6" spans="1:10" x14ac:dyDescent="0.2">
      <c r="A6" t="s">
        <v>53</v>
      </c>
      <c r="C6" s="91">
        <f>+'Pension Value'!AS7</f>
        <v>456061.53</v>
      </c>
      <c r="G6" t="s">
        <v>53</v>
      </c>
      <c r="I6" s="91">
        <f>+'Pension Value'!AS7</f>
        <v>456061.53</v>
      </c>
    </row>
    <row r="7" spans="1:10" x14ac:dyDescent="0.2">
      <c r="C7" s="91"/>
      <c r="I7" s="91"/>
    </row>
    <row r="8" spans="1:10" x14ac:dyDescent="0.2">
      <c r="A8" t="s">
        <v>54</v>
      </c>
      <c r="C8" s="91">
        <f>'Pension Value'!AS13</f>
        <v>121875</v>
      </c>
      <c r="G8" t="s">
        <v>54</v>
      </c>
      <c r="I8" s="91">
        <f>'Pension Value'!AS13</f>
        <v>121875</v>
      </c>
    </row>
    <row r="9" spans="1:10" x14ac:dyDescent="0.2">
      <c r="C9" s="89"/>
      <c r="I9" s="89"/>
    </row>
    <row r="10" spans="1:10" x14ac:dyDescent="0.2">
      <c r="A10" t="s">
        <v>84</v>
      </c>
      <c r="C10" s="89">
        <f>+C6-C8+C9</f>
        <v>334186.53000000003</v>
      </c>
      <c r="G10" t="s">
        <v>84</v>
      </c>
      <c r="I10" s="89">
        <f>+I6-I8+I9</f>
        <v>334186.53000000003</v>
      </c>
    </row>
    <row r="11" spans="1:10" x14ac:dyDescent="0.2">
      <c r="I11" s="84"/>
    </row>
    <row r="12" spans="1:10" x14ac:dyDescent="0.2">
      <c r="A12" s="90" t="s">
        <v>85</v>
      </c>
      <c r="C12" s="89">
        <v>225000</v>
      </c>
      <c r="G12" s="90" t="s">
        <v>85</v>
      </c>
      <c r="I12" s="89">
        <v>225000</v>
      </c>
    </row>
    <row r="13" spans="1:10" x14ac:dyDescent="0.2">
      <c r="A13" t="s">
        <v>55</v>
      </c>
      <c r="C13" s="89">
        <f>+C10+C12</f>
        <v>559186.53</v>
      </c>
      <c r="G13" t="s">
        <v>55</v>
      </c>
      <c r="I13" s="89">
        <f>+I10+I12</f>
        <v>559186.53</v>
      </c>
    </row>
    <row r="14" spans="1:10" x14ac:dyDescent="0.2">
      <c r="I14" s="84"/>
    </row>
    <row r="15" spans="1:10" x14ac:dyDescent="0.2">
      <c r="A15" t="s">
        <v>91</v>
      </c>
      <c r="C15" s="91">
        <f>'Pension Value'!AT36</f>
        <v>452588.10833333334</v>
      </c>
      <c r="G15" t="s">
        <v>91</v>
      </c>
      <c r="I15" s="91">
        <f>'Pension Value'!AZ32</f>
        <v>453141.77244292235</v>
      </c>
    </row>
    <row r="16" spans="1:10" x14ac:dyDescent="0.2">
      <c r="A16" s="90" t="s">
        <v>69</v>
      </c>
      <c r="C16" s="91">
        <f>+'Pension Value'!AS16+'Pension Value'!AS17+'Pension Value'!AS18+'Pension Value'!AS19</f>
        <v>4745</v>
      </c>
      <c r="D16" s="90" t="s">
        <v>88</v>
      </c>
      <c r="G16" s="90" t="s">
        <v>69</v>
      </c>
      <c r="I16" s="91">
        <f>+'Pension Value'!AS16+'Pension Value'!AS17+'Pension Value'!AS18+'Pension Value'!AS19</f>
        <v>4745</v>
      </c>
      <c r="J16" s="90" t="s">
        <v>88</v>
      </c>
    </row>
    <row r="17" spans="1:11" x14ac:dyDescent="0.2">
      <c r="A17" t="s">
        <v>86</v>
      </c>
      <c r="C17" s="89">
        <f>+C13-C15-C16</f>
        <v>101853.42166666669</v>
      </c>
      <c r="G17" t="s">
        <v>86</v>
      </c>
      <c r="I17" s="89">
        <f>+I13-I15-I16</f>
        <v>101299.75755707768</v>
      </c>
    </row>
    <row r="18" spans="1:11" x14ac:dyDescent="0.2">
      <c r="I18" s="84"/>
    </row>
    <row r="19" spans="1:11" x14ac:dyDescent="0.2">
      <c r="I19" s="84"/>
    </row>
    <row r="20" spans="1:11" x14ac:dyDescent="0.2">
      <c r="A20" s="97" t="s">
        <v>87</v>
      </c>
      <c r="C20" s="137">
        <f>+A1</f>
        <v>42670</v>
      </c>
      <c r="G20" s="97" t="s">
        <v>87</v>
      </c>
      <c r="I20" s="137">
        <f>+G1</f>
        <v>42679</v>
      </c>
    </row>
    <row r="21" spans="1:11" ht="24" customHeight="1" x14ac:dyDescent="0.25">
      <c r="A21" s="98" t="s">
        <v>10</v>
      </c>
      <c r="B21" s="96"/>
      <c r="C21" s="96"/>
      <c r="D21" s="96"/>
      <c r="E21" s="96"/>
      <c r="G21" s="98" t="s">
        <v>10</v>
      </c>
      <c r="H21" s="96"/>
      <c r="I21" s="96"/>
      <c r="J21" s="96"/>
      <c r="K21" s="96"/>
    </row>
    <row r="22" spans="1:11" ht="15" x14ac:dyDescent="0.25">
      <c r="A22" s="102"/>
      <c r="B22" s="103"/>
      <c r="C22" s="104" t="s">
        <v>79</v>
      </c>
      <c r="D22" s="105" t="s">
        <v>13</v>
      </c>
      <c r="E22" s="106" t="s">
        <v>14</v>
      </c>
      <c r="F22" s="133"/>
      <c r="G22" s="102"/>
      <c r="H22" s="103"/>
      <c r="I22" s="104" t="s">
        <v>79</v>
      </c>
      <c r="J22" s="105" t="s">
        <v>13</v>
      </c>
      <c r="K22" s="106" t="s">
        <v>14</v>
      </c>
    </row>
    <row r="23" spans="1:11" ht="15" x14ac:dyDescent="0.25">
      <c r="A23" s="62"/>
      <c r="B23" s="93">
        <v>0.39410000000000001</v>
      </c>
      <c r="C23" s="107">
        <v>0.5</v>
      </c>
      <c r="D23" s="101">
        <v>0.39410000000000001</v>
      </c>
      <c r="E23" s="108">
        <v>0.10589999999999999</v>
      </c>
      <c r="F23" s="101"/>
      <c r="G23" s="62"/>
      <c r="H23" s="93">
        <v>0.39410000000000001</v>
      </c>
      <c r="I23" s="107">
        <v>0.5</v>
      </c>
      <c r="J23" s="101">
        <v>0.39410000000000001</v>
      </c>
      <c r="K23" s="108">
        <v>0.10589999999999999</v>
      </c>
    </row>
    <row r="24" spans="1:11" ht="15" x14ac:dyDescent="0.25">
      <c r="A24" s="109" t="s">
        <v>16</v>
      </c>
      <c r="B24" s="110">
        <v>0.10589999999999999</v>
      </c>
      <c r="C24" s="111">
        <f>SUM(D24:E24)</f>
        <v>452588.1083333334</v>
      </c>
      <c r="D24" s="112">
        <f>(+C$15*2)*B23</f>
        <v>356729.94698833337</v>
      </c>
      <c r="E24" s="113">
        <f>(+C$15*2)*B24</f>
        <v>95858.161345</v>
      </c>
      <c r="F24" s="134"/>
      <c r="G24" s="109" t="s">
        <v>16</v>
      </c>
      <c r="H24" s="110">
        <v>0.10589999999999999</v>
      </c>
      <c r="I24" s="111">
        <f>SUM(J24:K24)</f>
        <v>453141.77244292235</v>
      </c>
      <c r="J24" s="112">
        <f>(+I$15*2)*H23</f>
        <v>357166.34503951139</v>
      </c>
      <c r="K24" s="113">
        <f>(+I$15*2)*H24</f>
        <v>95975.42740341094</v>
      </c>
    </row>
    <row r="25" spans="1:11" x14ac:dyDescent="0.2">
      <c r="I25" s="84"/>
    </row>
    <row r="26" spans="1:11" x14ac:dyDescent="0.2">
      <c r="A26" s="114"/>
      <c r="B26" s="115"/>
      <c r="C26" s="116" t="s">
        <v>15</v>
      </c>
      <c r="D26" s="116" t="s">
        <v>72</v>
      </c>
      <c r="E26" s="117" t="s">
        <v>73</v>
      </c>
      <c r="F26" s="135"/>
      <c r="G26" s="114"/>
      <c r="H26" s="115"/>
      <c r="I26" s="116" t="s">
        <v>15</v>
      </c>
      <c r="J26" s="116" t="s">
        <v>72</v>
      </c>
      <c r="K26" s="117" t="s">
        <v>73</v>
      </c>
    </row>
    <row r="27" spans="1:11" x14ac:dyDescent="0.2">
      <c r="A27" s="62"/>
      <c r="B27" s="96"/>
      <c r="C27" s="118">
        <v>0.5</v>
      </c>
      <c r="D27" s="119">
        <v>0.29399999999999998</v>
      </c>
      <c r="E27" s="120">
        <v>0.20599999999999999</v>
      </c>
      <c r="F27" s="119"/>
      <c r="G27" s="62"/>
      <c r="H27" s="96"/>
      <c r="I27" s="118">
        <v>0.5</v>
      </c>
      <c r="J27" s="119">
        <v>0.29399999999999998</v>
      </c>
      <c r="K27" s="120">
        <v>0.20599999999999999</v>
      </c>
    </row>
    <row r="28" spans="1:11" x14ac:dyDescent="0.2">
      <c r="A28" s="121" t="s">
        <v>1</v>
      </c>
      <c r="B28" s="96"/>
      <c r="C28" s="122"/>
      <c r="D28" s="96"/>
      <c r="E28" s="123"/>
      <c r="G28" s="121" t="s">
        <v>1</v>
      </c>
      <c r="H28" s="96"/>
      <c r="I28" s="122"/>
      <c r="J28" s="96"/>
      <c r="K28" s="123"/>
    </row>
    <row r="29" spans="1:11" x14ac:dyDescent="0.2">
      <c r="A29" s="124" t="s">
        <v>74</v>
      </c>
      <c r="B29" s="96"/>
      <c r="C29" s="76">
        <v>600000</v>
      </c>
      <c r="D29" s="76">
        <f>+C29*2*D$27</f>
        <v>352800</v>
      </c>
      <c r="E29" s="125">
        <f>+C29*2*E$27</f>
        <v>247200</v>
      </c>
      <c r="F29" s="76"/>
      <c r="G29" s="124" t="s">
        <v>74</v>
      </c>
      <c r="H29" s="96"/>
      <c r="I29" s="76">
        <v>600000</v>
      </c>
      <c r="J29" s="76">
        <f>+I29*2*J$27</f>
        <v>352800</v>
      </c>
      <c r="K29" s="125">
        <f>+I29*2*K$27</f>
        <v>247200</v>
      </c>
    </row>
    <row r="30" spans="1:11" x14ac:dyDescent="0.2">
      <c r="A30" s="124" t="s">
        <v>75</v>
      </c>
      <c r="B30" s="96"/>
      <c r="C30" s="76">
        <f>+C17</f>
        <v>101853.42166666669</v>
      </c>
      <c r="D30" s="76">
        <f>+C30*2*D$27</f>
        <v>59889.811940000014</v>
      </c>
      <c r="E30" s="125">
        <f>+C30*2*E$27</f>
        <v>41963.609726666677</v>
      </c>
      <c r="F30" s="76"/>
      <c r="G30" s="124" t="s">
        <v>75</v>
      </c>
      <c r="H30" s="96"/>
      <c r="I30" s="76">
        <f>+I17</f>
        <v>101299.75755707768</v>
      </c>
      <c r="J30" s="76">
        <f>+I30*2*J$27</f>
        <v>59564.257443561677</v>
      </c>
      <c r="K30" s="125">
        <f>+I30*2*K$27</f>
        <v>41735.500113516006</v>
      </c>
    </row>
    <row r="31" spans="1:11" x14ac:dyDescent="0.2">
      <c r="A31" s="124"/>
      <c r="B31" s="96"/>
      <c r="C31" s="76"/>
      <c r="D31" s="76"/>
      <c r="E31" s="125"/>
      <c r="F31" s="76"/>
      <c r="G31" s="124"/>
      <c r="H31" s="96"/>
      <c r="I31" s="76"/>
      <c r="J31" s="76"/>
      <c r="K31" s="125"/>
    </row>
    <row r="32" spans="1:11" x14ac:dyDescent="0.2">
      <c r="A32" s="124" t="s">
        <v>76</v>
      </c>
      <c r="B32" s="96"/>
      <c r="C32" s="76"/>
      <c r="D32" s="76"/>
      <c r="E32" s="125"/>
      <c r="F32" s="76"/>
      <c r="G32" s="124" t="s">
        <v>76</v>
      </c>
      <c r="H32" s="96"/>
      <c r="I32" s="76"/>
      <c r="J32" s="76"/>
      <c r="K32" s="125"/>
    </row>
    <row r="33" spans="1:11" x14ac:dyDescent="0.2">
      <c r="A33" s="124" t="s">
        <v>77</v>
      </c>
      <c r="B33" s="96"/>
      <c r="C33" s="76">
        <v>-225000</v>
      </c>
      <c r="D33" s="76">
        <f>+C33*2*D$27</f>
        <v>-132300</v>
      </c>
      <c r="E33" s="125">
        <f>+C33*2*E$27</f>
        <v>-92700</v>
      </c>
      <c r="F33" s="76"/>
      <c r="G33" s="124" t="s">
        <v>77</v>
      </c>
      <c r="H33" s="96"/>
      <c r="I33" s="76">
        <v>-225000</v>
      </c>
      <c r="J33" s="76">
        <f>+I33*2*J$27</f>
        <v>-132300</v>
      </c>
      <c r="K33" s="125">
        <f>+I33*2*K$27</f>
        <v>-92700</v>
      </c>
    </row>
    <row r="34" spans="1:11" x14ac:dyDescent="0.2">
      <c r="A34" s="124" t="s">
        <v>78</v>
      </c>
      <c r="B34" s="96"/>
      <c r="C34" s="87">
        <f>-'Pension Value'!AS14</f>
        <v>-306.98</v>
      </c>
      <c r="D34" s="76">
        <f>+C34*2*D$27</f>
        <v>-180.50424000000001</v>
      </c>
      <c r="E34" s="125">
        <f>+C34*2*E$27</f>
        <v>-126.47575999999999</v>
      </c>
      <c r="F34" s="76"/>
      <c r="G34" s="124" t="s">
        <v>92</v>
      </c>
      <c r="H34" s="96"/>
      <c r="I34" s="87">
        <f>-'Pension Value'!AY14-'Pension Value'!AY15</f>
        <v>-617.46</v>
      </c>
      <c r="J34" s="76">
        <f>+I34*2*J$27</f>
        <v>-363.06648000000001</v>
      </c>
      <c r="K34" s="125">
        <f>+I34*2*K$27</f>
        <v>-254.39352</v>
      </c>
    </row>
    <row r="35" spans="1:11" x14ac:dyDescent="0.2">
      <c r="A35" s="124" t="s">
        <v>82</v>
      </c>
      <c r="B35" s="96"/>
      <c r="C35" s="76">
        <f>-'Pension Value'!AM21</f>
        <v>-9583.3333333333339</v>
      </c>
      <c r="D35" s="76">
        <f>+C35*2*D$27</f>
        <v>-5635</v>
      </c>
      <c r="E35" s="125">
        <f>+C35*2*E$27</f>
        <v>-3948.3333333333335</v>
      </c>
      <c r="F35" s="76"/>
      <c r="G35" s="124" t="s">
        <v>82</v>
      </c>
      <c r="H35" s="96"/>
      <c r="I35" s="87">
        <f>-'Pension Value'!AY21</f>
        <v>-8165.5251141552517</v>
      </c>
      <c r="J35" s="76">
        <f>+I35*2*J$27</f>
        <v>-4801.3287671232874</v>
      </c>
      <c r="K35" s="125">
        <f>+I35*2*K$27</f>
        <v>-3364.1963470319633</v>
      </c>
    </row>
    <row r="36" spans="1:11" x14ac:dyDescent="0.2">
      <c r="A36" s="124" t="s">
        <v>83</v>
      </c>
      <c r="B36" s="96"/>
      <c r="C36" s="87">
        <f>-'Pension Value'!AS20</f>
        <v>-14375</v>
      </c>
      <c r="D36" s="76">
        <f>+C36*2*D$27</f>
        <v>-8452.5</v>
      </c>
      <c r="E36" s="125">
        <f>+C36*2*E$27</f>
        <v>-5922.5</v>
      </c>
      <c r="F36" s="76"/>
      <c r="G36" s="124" t="s">
        <v>83</v>
      </c>
      <c r="H36" s="96"/>
      <c r="I36" s="87">
        <f>-'Pension Value'!AS20</f>
        <v>-14375</v>
      </c>
      <c r="J36" s="76">
        <f>+I36*2*J$27</f>
        <v>-8452.5</v>
      </c>
      <c r="K36" s="125">
        <f>+I36*2*K$27</f>
        <v>-5922.5</v>
      </c>
    </row>
    <row r="37" spans="1:11" x14ac:dyDescent="0.2">
      <c r="A37" s="126" t="s">
        <v>71</v>
      </c>
      <c r="B37" s="127"/>
      <c r="C37" s="128">
        <f>SUM(C29:C36)</f>
        <v>452588.10833333334</v>
      </c>
      <c r="D37" s="128">
        <f t="shared" ref="D37:E37" si="0">SUM(D29:D36)</f>
        <v>266121.80770000006</v>
      </c>
      <c r="E37" s="129">
        <f t="shared" si="0"/>
        <v>186466.30063333336</v>
      </c>
      <c r="F37" s="136"/>
      <c r="G37" s="126" t="s">
        <v>71</v>
      </c>
      <c r="H37" s="127"/>
      <c r="I37" s="128">
        <f>SUM(I29:I36)</f>
        <v>453141.7724429224</v>
      </c>
      <c r="J37" s="128">
        <f t="shared" ref="J37:K37" si="1">SUM(J29:J36)</f>
        <v>266447.36219643842</v>
      </c>
      <c r="K37" s="129">
        <f t="shared" si="1"/>
        <v>186694.41024648401</v>
      </c>
    </row>
    <row r="39" spans="1:11" ht="15" x14ac:dyDescent="0.25">
      <c r="A39" s="92"/>
      <c r="B39" s="93"/>
      <c r="C39" s="93"/>
    </row>
    <row r="40" spans="1:11" ht="15" x14ac:dyDescent="0.25">
      <c r="A40" s="92"/>
      <c r="B40" s="93"/>
      <c r="C40" s="93"/>
    </row>
    <row r="41" spans="1:11" ht="15" x14ac:dyDescent="0.25">
      <c r="A41" s="94"/>
      <c r="B41" s="95"/>
      <c r="C41" s="95"/>
    </row>
    <row r="42" spans="1:11" x14ac:dyDescent="0.2">
      <c r="C42"/>
    </row>
  </sheetData>
  <pageMargins left="0.7" right="0.7" top="0.75" bottom="0.75" header="0.3" footer="0.3"/>
  <pageSetup paperSize="9" orientation="landscape" r:id="rId1"/>
  <rowBreaks count="1" manualBreakCount="1">
    <brk id="38" max="9" man="1"/>
  </rowBreaks>
  <colBreaks count="2" manualBreakCount="2">
    <brk id="5" min="17" max="37" man="1"/>
    <brk id="11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5"/>
  <sheetViews>
    <sheetView topLeftCell="A4" workbookViewId="0">
      <selection activeCell="I23" sqref="I23"/>
    </sheetView>
  </sheetViews>
  <sheetFormatPr defaultColWidth="8.85546875" defaultRowHeight="12.75" x14ac:dyDescent="0.2"/>
  <cols>
    <col min="2" max="2" width="11.28515625" customWidth="1"/>
    <col min="3" max="3" width="9.28515625" bestFit="1" customWidth="1"/>
    <col min="4" max="4" width="11.140625" bestFit="1" customWidth="1"/>
    <col min="5" max="5" width="9.140625" bestFit="1" customWidth="1"/>
    <col min="6" max="6" width="10.140625" bestFit="1" customWidth="1"/>
    <col min="7" max="7" width="11.140625" bestFit="1" customWidth="1"/>
    <col min="10" max="11" width="12.28515625" bestFit="1" customWidth="1"/>
    <col min="12" max="12" width="11.42578125" customWidth="1"/>
    <col min="13" max="13" width="12.28515625" bestFit="1" customWidth="1"/>
  </cols>
  <sheetData>
    <row r="1" spans="1:13" ht="26.25" customHeight="1" x14ac:dyDescent="0.2">
      <c r="A1" s="147" t="s">
        <v>17</v>
      </c>
      <c r="B1" s="9" t="s">
        <v>18</v>
      </c>
      <c r="C1" s="147" t="s">
        <v>20</v>
      </c>
      <c r="D1" s="147" t="s">
        <v>21</v>
      </c>
      <c r="E1" s="147" t="s">
        <v>22</v>
      </c>
    </row>
    <row r="2" spans="1:13" x14ac:dyDescent="0.2">
      <c r="A2" s="148"/>
      <c r="B2" s="10" t="s">
        <v>19</v>
      </c>
      <c r="C2" s="148"/>
      <c r="D2" s="148"/>
      <c r="E2" s="148"/>
    </row>
    <row r="3" spans="1:13" ht="13.5" thickBot="1" x14ac:dyDescent="0.25">
      <c r="A3" s="11"/>
      <c r="B3" s="12">
        <v>40935</v>
      </c>
      <c r="C3" s="13"/>
      <c r="D3" s="13"/>
      <c r="E3" s="13"/>
    </row>
    <row r="4" spans="1:13" ht="25.5" x14ac:dyDescent="0.2">
      <c r="A4" s="28" t="s">
        <v>23</v>
      </c>
      <c r="B4" s="29"/>
      <c r="C4" s="27"/>
      <c r="D4" s="27">
        <v>160000</v>
      </c>
      <c r="E4" s="26"/>
      <c r="G4" s="30" t="s">
        <v>24</v>
      </c>
      <c r="K4" t="s">
        <v>39</v>
      </c>
      <c r="L4" t="s">
        <v>40</v>
      </c>
      <c r="M4" s="51">
        <v>150000</v>
      </c>
    </row>
    <row r="5" spans="1:13" x14ac:dyDescent="0.2">
      <c r="A5" s="14">
        <v>1</v>
      </c>
      <c r="B5" s="15">
        <v>41026</v>
      </c>
      <c r="C5" s="16">
        <v>8866.4599999999991</v>
      </c>
      <c r="D5" s="17">
        <v>7266.46</v>
      </c>
      <c r="E5" s="18">
        <v>1600</v>
      </c>
      <c r="G5" s="72">
        <f>+D4-D5</f>
        <v>152733.54</v>
      </c>
      <c r="J5" s="51">
        <v>8329.51</v>
      </c>
      <c r="K5" s="51">
        <v>6788.31</v>
      </c>
      <c r="L5" s="51">
        <f>+J5-K5</f>
        <v>1541.1999999999998</v>
      </c>
      <c r="M5" s="52">
        <f>+M4-K5</f>
        <v>143211.69</v>
      </c>
    </row>
    <row r="6" spans="1:13" x14ac:dyDescent="0.2">
      <c r="A6" s="14">
        <v>2</v>
      </c>
      <c r="B6" s="15">
        <v>41117</v>
      </c>
      <c r="C6" s="16">
        <v>8866.4599999999991</v>
      </c>
      <c r="D6" s="17">
        <v>7339.12</v>
      </c>
      <c r="E6" s="18">
        <v>1527.34</v>
      </c>
      <c r="G6" s="72">
        <f>+G5-D6</f>
        <v>145394.42000000001</v>
      </c>
      <c r="J6" s="51">
        <v>8329.51</v>
      </c>
      <c r="K6" s="51">
        <v>6858.06</v>
      </c>
      <c r="L6" s="51">
        <f t="shared" ref="L6:L23" si="0">+J6-K6</f>
        <v>1471.4499999999998</v>
      </c>
      <c r="M6" s="52">
        <f t="shared" ref="M6:M24" si="1">+M5-K6</f>
        <v>136353.63</v>
      </c>
    </row>
    <row r="7" spans="1:13" x14ac:dyDescent="0.2">
      <c r="A7" s="14">
        <v>3</v>
      </c>
      <c r="B7" s="15">
        <v>41209</v>
      </c>
      <c r="C7" s="16">
        <v>8866.4599999999991</v>
      </c>
      <c r="D7" s="17">
        <v>7412.52</v>
      </c>
      <c r="E7" s="18">
        <v>1453.94</v>
      </c>
      <c r="G7" s="72">
        <f t="shared" ref="G7:G24" si="2">+G6-D7</f>
        <v>137981.90000000002</v>
      </c>
      <c r="J7" s="51">
        <v>8329.51</v>
      </c>
      <c r="K7" s="51">
        <v>6959.13</v>
      </c>
      <c r="L7" s="51">
        <f t="shared" si="0"/>
        <v>1370.38</v>
      </c>
      <c r="M7" s="52">
        <f t="shared" si="1"/>
        <v>129394.5</v>
      </c>
    </row>
    <row r="8" spans="1:13" x14ac:dyDescent="0.2">
      <c r="A8" s="14">
        <v>4</v>
      </c>
      <c r="B8" s="15">
        <v>41301</v>
      </c>
      <c r="C8" s="16">
        <v>8866.4599999999991</v>
      </c>
      <c r="D8" s="17">
        <v>7486.64</v>
      </c>
      <c r="E8" s="18">
        <v>1379.82</v>
      </c>
      <c r="G8" s="72">
        <f t="shared" si="2"/>
        <v>130495.26000000002</v>
      </c>
      <c r="J8" s="51">
        <v>8329.51</v>
      </c>
      <c r="K8" s="51">
        <v>7000.03</v>
      </c>
      <c r="L8" s="51">
        <f t="shared" si="0"/>
        <v>1329.4800000000005</v>
      </c>
      <c r="M8" s="52">
        <f t="shared" si="1"/>
        <v>122394.47</v>
      </c>
    </row>
    <row r="9" spans="1:13" x14ac:dyDescent="0.2">
      <c r="A9" s="14">
        <v>5</v>
      </c>
      <c r="B9" s="15">
        <v>41391</v>
      </c>
      <c r="C9" s="16">
        <v>8866.4599999999991</v>
      </c>
      <c r="D9" s="17">
        <v>7561.51</v>
      </c>
      <c r="E9" s="18">
        <v>1304.95</v>
      </c>
      <c r="G9" s="72">
        <f t="shared" si="2"/>
        <v>122933.75000000003</v>
      </c>
      <c r="J9" s="51">
        <v>8329.51</v>
      </c>
      <c r="K9" s="51">
        <v>7071.95</v>
      </c>
      <c r="L9" s="51">
        <f t="shared" si="0"/>
        <v>1257.5600000000004</v>
      </c>
      <c r="M9" s="52">
        <f t="shared" si="1"/>
        <v>115322.52</v>
      </c>
    </row>
    <row r="10" spans="1:13" x14ac:dyDescent="0.2">
      <c r="A10" s="14">
        <v>6</v>
      </c>
      <c r="B10" s="15">
        <v>41482</v>
      </c>
      <c r="C10" s="16">
        <v>8866.4599999999991</v>
      </c>
      <c r="D10" s="17">
        <v>7637.12</v>
      </c>
      <c r="E10" s="18">
        <v>1229.3399999999999</v>
      </c>
      <c r="G10" s="72">
        <f t="shared" si="2"/>
        <v>115296.63000000003</v>
      </c>
      <c r="J10" s="51">
        <v>8329.51</v>
      </c>
      <c r="K10" s="51">
        <v>7144.61</v>
      </c>
      <c r="L10" s="51">
        <f t="shared" si="0"/>
        <v>1184.9000000000005</v>
      </c>
      <c r="M10" s="52">
        <f t="shared" si="1"/>
        <v>108177.91</v>
      </c>
    </row>
    <row r="11" spans="1:13" x14ac:dyDescent="0.2">
      <c r="A11" s="14">
        <v>7</v>
      </c>
      <c r="B11" s="15">
        <v>41574</v>
      </c>
      <c r="C11" s="16">
        <v>8866.4599999999991</v>
      </c>
      <c r="D11" s="17">
        <v>7713.49</v>
      </c>
      <c r="E11" s="18">
        <v>1152.97</v>
      </c>
      <c r="G11" s="72">
        <f t="shared" si="2"/>
        <v>107583.14000000003</v>
      </c>
      <c r="J11" s="51">
        <v>8329.51</v>
      </c>
      <c r="K11" s="51">
        <v>7254.44</v>
      </c>
      <c r="L11" s="51">
        <f t="shared" si="0"/>
        <v>1075.0700000000006</v>
      </c>
      <c r="M11" s="52">
        <f t="shared" si="1"/>
        <v>100923.47</v>
      </c>
    </row>
    <row r="12" spans="1:13" x14ac:dyDescent="0.2">
      <c r="A12" s="14">
        <v>8</v>
      </c>
      <c r="B12" s="15">
        <v>41666</v>
      </c>
      <c r="C12" s="16">
        <v>8866.4599999999991</v>
      </c>
      <c r="D12" s="17">
        <v>7790.63</v>
      </c>
      <c r="E12" s="18">
        <v>1075.83</v>
      </c>
      <c r="G12" s="72">
        <f t="shared" si="2"/>
        <v>99792.510000000024</v>
      </c>
      <c r="J12" s="51">
        <v>8329.51</v>
      </c>
      <c r="K12" s="51">
        <v>7292.56</v>
      </c>
      <c r="L12" s="51">
        <f t="shared" si="0"/>
        <v>1036.9499999999998</v>
      </c>
      <c r="M12" s="52">
        <f t="shared" si="1"/>
        <v>93630.91</v>
      </c>
    </row>
    <row r="13" spans="1:13" x14ac:dyDescent="0.2">
      <c r="A13" s="14">
        <v>9</v>
      </c>
      <c r="B13" s="15">
        <v>41756</v>
      </c>
      <c r="C13" s="16">
        <v>8866.4599999999991</v>
      </c>
      <c r="D13" s="17">
        <v>7868.53</v>
      </c>
      <c r="E13" s="18">
        <v>997.93</v>
      </c>
      <c r="G13" s="72">
        <f t="shared" si="2"/>
        <v>91923.980000000025</v>
      </c>
      <c r="J13" s="51">
        <v>8329.51</v>
      </c>
      <c r="K13" s="51">
        <v>7367.49</v>
      </c>
      <c r="L13" s="51">
        <f t="shared" si="0"/>
        <v>962.02000000000044</v>
      </c>
      <c r="M13" s="52">
        <f t="shared" si="1"/>
        <v>86263.42</v>
      </c>
    </row>
    <row r="14" spans="1:13" x14ac:dyDescent="0.2">
      <c r="A14" s="14">
        <v>10</v>
      </c>
      <c r="B14" s="15">
        <v>41847</v>
      </c>
      <c r="C14" s="16">
        <v>8866.4599999999991</v>
      </c>
      <c r="D14" s="17">
        <v>7947.22</v>
      </c>
      <c r="E14" s="18">
        <v>919.24</v>
      </c>
      <c r="G14" s="72">
        <f t="shared" si="2"/>
        <v>83976.760000000024</v>
      </c>
      <c r="J14" s="51">
        <v>8329.51</v>
      </c>
      <c r="K14" s="51">
        <v>7443.18</v>
      </c>
      <c r="L14" s="51">
        <f t="shared" si="0"/>
        <v>886.32999999999993</v>
      </c>
      <c r="M14" s="52">
        <f t="shared" si="1"/>
        <v>78820.239999999991</v>
      </c>
    </row>
    <row r="15" spans="1:13" x14ac:dyDescent="0.2">
      <c r="A15" s="14">
        <v>11</v>
      </c>
      <c r="B15" s="15">
        <v>41939</v>
      </c>
      <c r="C15" s="16">
        <v>8866.4599999999991</v>
      </c>
      <c r="D15" s="17">
        <v>8026.69</v>
      </c>
      <c r="E15" s="18">
        <v>839.77</v>
      </c>
      <c r="G15" s="72">
        <f t="shared" si="2"/>
        <v>75950.070000000022</v>
      </c>
      <c r="J15" s="51">
        <v>8329.51</v>
      </c>
      <c r="K15" s="51">
        <v>7546.2</v>
      </c>
      <c r="L15" s="51">
        <f t="shared" si="0"/>
        <v>783.3100000000004</v>
      </c>
      <c r="M15" s="52">
        <f t="shared" si="1"/>
        <v>71274.039999999994</v>
      </c>
    </row>
    <row r="16" spans="1:13" x14ac:dyDescent="0.2">
      <c r="A16" s="14">
        <v>12</v>
      </c>
      <c r="B16" s="15">
        <v>42031</v>
      </c>
      <c r="C16" s="16">
        <v>8866.4599999999991</v>
      </c>
      <c r="D16" s="17">
        <v>8106.96</v>
      </c>
      <c r="E16" s="18">
        <v>759.5</v>
      </c>
      <c r="G16" s="72">
        <f t="shared" si="2"/>
        <v>67843.110000000015</v>
      </c>
      <c r="J16" s="51">
        <v>8329.51</v>
      </c>
      <c r="K16" s="51">
        <v>7597.19</v>
      </c>
      <c r="L16" s="51">
        <f t="shared" si="0"/>
        <v>732.32000000000062</v>
      </c>
      <c r="M16" s="52">
        <f t="shared" si="1"/>
        <v>63676.849999999991</v>
      </c>
    </row>
    <row r="17" spans="1:13" x14ac:dyDescent="0.2">
      <c r="A17" s="14">
        <v>13</v>
      </c>
      <c r="B17" s="15">
        <v>42121</v>
      </c>
      <c r="C17" s="16">
        <v>8866.4599999999991</v>
      </c>
      <c r="D17" s="17">
        <v>8188.03</v>
      </c>
      <c r="E17" s="18">
        <v>678.43</v>
      </c>
      <c r="G17" s="72">
        <f t="shared" si="2"/>
        <v>59655.080000000016</v>
      </c>
      <c r="J17" s="51">
        <v>8329.51</v>
      </c>
      <c r="K17" s="51">
        <v>7675.25</v>
      </c>
      <c r="L17" s="51">
        <f t="shared" si="0"/>
        <v>654.26000000000022</v>
      </c>
      <c r="M17" s="52">
        <f t="shared" si="1"/>
        <v>56001.599999999991</v>
      </c>
    </row>
    <row r="18" spans="1:13" x14ac:dyDescent="0.2">
      <c r="A18" s="14">
        <v>14</v>
      </c>
      <c r="B18" s="15">
        <v>42212</v>
      </c>
      <c r="C18" s="16">
        <v>8866.4599999999991</v>
      </c>
      <c r="D18" s="17">
        <v>8269.91</v>
      </c>
      <c r="E18" s="18">
        <v>596.54999999999995</v>
      </c>
      <c r="G18" s="72">
        <f t="shared" si="2"/>
        <v>51385.170000000013</v>
      </c>
      <c r="J18" s="51">
        <v>8329.51</v>
      </c>
      <c r="K18" s="51">
        <v>7754.11</v>
      </c>
      <c r="L18" s="51">
        <f t="shared" si="0"/>
        <v>575.40000000000055</v>
      </c>
      <c r="M18" s="52">
        <f t="shared" si="1"/>
        <v>48247.489999999991</v>
      </c>
    </row>
    <row r="19" spans="1:13" x14ac:dyDescent="0.2">
      <c r="A19" s="14">
        <v>15</v>
      </c>
      <c r="B19" s="15">
        <v>42304</v>
      </c>
      <c r="C19" s="16">
        <v>8866.4599999999991</v>
      </c>
      <c r="D19" s="17">
        <v>8352.61</v>
      </c>
      <c r="E19" s="18">
        <v>513.85</v>
      </c>
      <c r="G19" s="72">
        <f t="shared" si="2"/>
        <v>43032.560000000012</v>
      </c>
      <c r="J19" s="51">
        <v>8329.51</v>
      </c>
      <c r="K19" s="51">
        <v>7850.03</v>
      </c>
      <c r="L19" s="51">
        <f t="shared" si="0"/>
        <v>479.48000000000047</v>
      </c>
      <c r="M19" s="52">
        <f t="shared" si="1"/>
        <v>40397.459999999992</v>
      </c>
    </row>
    <row r="20" spans="1:13" x14ac:dyDescent="0.2">
      <c r="A20" s="14">
        <v>16</v>
      </c>
      <c r="B20" s="15">
        <v>42396</v>
      </c>
      <c r="C20" s="16">
        <v>8866.4599999999991</v>
      </c>
      <c r="D20" s="17">
        <v>8436.1299999999992</v>
      </c>
      <c r="E20" s="18">
        <v>430.33</v>
      </c>
      <c r="G20" s="72">
        <f t="shared" si="2"/>
        <v>34596.430000000015</v>
      </c>
      <c r="J20" s="51">
        <v>8329.51</v>
      </c>
      <c r="K20" s="51">
        <v>7914.44</v>
      </c>
      <c r="L20" s="51">
        <f t="shared" si="0"/>
        <v>415.07000000000062</v>
      </c>
      <c r="M20" s="52">
        <f t="shared" si="1"/>
        <v>32483.019999999993</v>
      </c>
    </row>
    <row r="21" spans="1:13" x14ac:dyDescent="0.2">
      <c r="A21" s="14">
        <v>17</v>
      </c>
      <c r="B21" s="15">
        <v>42487</v>
      </c>
      <c r="C21" s="16">
        <v>8866.4599999999991</v>
      </c>
      <c r="D21" s="17">
        <v>8520.5</v>
      </c>
      <c r="E21" s="18">
        <v>345.96</v>
      </c>
      <c r="G21" s="72">
        <f t="shared" si="2"/>
        <v>26075.930000000015</v>
      </c>
      <c r="J21" s="51">
        <v>8329.51</v>
      </c>
      <c r="K21" s="51">
        <v>7995.76</v>
      </c>
      <c r="L21" s="51">
        <f t="shared" si="0"/>
        <v>333.75</v>
      </c>
      <c r="M21" s="52">
        <f t="shared" si="1"/>
        <v>24487.259999999995</v>
      </c>
    </row>
    <row r="22" spans="1:13" x14ac:dyDescent="0.2">
      <c r="A22" s="14">
        <v>18</v>
      </c>
      <c r="B22" s="15">
        <v>42578</v>
      </c>
      <c r="C22" s="16">
        <v>8866.4599999999991</v>
      </c>
      <c r="D22" s="17">
        <v>8605.7000000000007</v>
      </c>
      <c r="E22" s="18">
        <v>260.76</v>
      </c>
      <c r="G22" s="72">
        <f t="shared" si="2"/>
        <v>17470.230000000014</v>
      </c>
      <c r="J22" s="51">
        <v>8329.51</v>
      </c>
      <c r="K22" s="51">
        <v>8077.91</v>
      </c>
      <c r="L22" s="51">
        <f t="shared" si="0"/>
        <v>251.60000000000036</v>
      </c>
      <c r="M22" s="52">
        <f t="shared" si="1"/>
        <v>16409.349999999995</v>
      </c>
    </row>
    <row r="23" spans="1:13" x14ac:dyDescent="0.2">
      <c r="A23" s="14">
        <v>19</v>
      </c>
      <c r="B23" s="15">
        <v>42670</v>
      </c>
      <c r="C23" s="16">
        <v>8866.4599999999991</v>
      </c>
      <c r="D23" s="17">
        <v>8691.76</v>
      </c>
      <c r="E23" s="18">
        <v>174.7</v>
      </c>
      <c r="G23" s="3">
        <f t="shared" si="2"/>
        <v>8778.4700000000139</v>
      </c>
      <c r="J23" s="51">
        <v>8329.51</v>
      </c>
      <c r="K23" s="51">
        <v>8164.59</v>
      </c>
      <c r="L23" s="51">
        <f t="shared" si="0"/>
        <v>164.92000000000007</v>
      </c>
      <c r="M23" s="52">
        <f t="shared" si="1"/>
        <v>8244.7599999999948</v>
      </c>
    </row>
    <row r="24" spans="1:13" ht="13.5" thickBot="1" x14ac:dyDescent="0.25">
      <c r="A24" s="19">
        <v>20</v>
      </c>
      <c r="B24" s="20">
        <v>42762</v>
      </c>
      <c r="C24" s="21">
        <v>8866.25</v>
      </c>
      <c r="D24" s="22">
        <v>8778.4699999999993</v>
      </c>
      <c r="E24" s="23">
        <v>87.78</v>
      </c>
      <c r="G24" s="3">
        <f t="shared" si="2"/>
        <v>1.4551915228366852E-11</v>
      </c>
      <c r="J24" s="51">
        <v>8329.51</v>
      </c>
      <c r="K24" s="51">
        <v>8244.76</v>
      </c>
      <c r="L24" s="51">
        <f>+J24-K24</f>
        <v>84.75</v>
      </c>
      <c r="M24" s="52">
        <f t="shared" si="1"/>
        <v>0</v>
      </c>
    </row>
    <row r="25" spans="1:13" x14ac:dyDescent="0.2">
      <c r="J25" s="51">
        <f>SUM(J5:J24)</f>
        <v>166590.20000000001</v>
      </c>
      <c r="K25" s="51">
        <f>SUM(K5:K24)</f>
        <v>150000</v>
      </c>
    </row>
    <row r="26" spans="1:13" x14ac:dyDescent="0.2">
      <c r="D26" s="3">
        <f>SUM(D5:D25)</f>
        <v>160000.00000000003</v>
      </c>
    </row>
    <row r="29" spans="1:13" x14ac:dyDescent="0.2">
      <c r="B29" t="s">
        <v>41</v>
      </c>
    </row>
    <row r="30" spans="1:13" x14ac:dyDescent="0.2">
      <c r="B30" s="73">
        <f>B17</f>
        <v>42121</v>
      </c>
      <c r="D30" s="3">
        <f>G17+'140k loan'!G18+'100k Loan'!F9</f>
        <v>176677.55000000005</v>
      </c>
    </row>
    <row r="31" spans="1:13" x14ac:dyDescent="0.2">
      <c r="B31" s="73">
        <f t="shared" ref="B31:B36" si="3">B18</f>
        <v>42212</v>
      </c>
      <c r="D31" s="3">
        <f>G18+'140k loan'!G19+'100k Loan'!F10</f>
        <v>156278.18000000002</v>
      </c>
    </row>
    <row r="32" spans="1:13" x14ac:dyDescent="0.2">
      <c r="B32" s="73">
        <f t="shared" si="3"/>
        <v>42304</v>
      </c>
      <c r="D32" s="3">
        <f>G19+'140k loan'!G20+'100k Loan'!F11</f>
        <v>135674.82</v>
      </c>
    </row>
    <row r="33" spans="2:7" x14ac:dyDescent="0.2">
      <c r="B33" s="73">
        <f t="shared" si="3"/>
        <v>42396</v>
      </c>
      <c r="D33" s="3">
        <f>G20+'140k loan'!G21+'100k Loan'!F12</f>
        <v>114865.43000000002</v>
      </c>
    </row>
    <row r="34" spans="2:7" x14ac:dyDescent="0.2">
      <c r="B34" s="73">
        <f t="shared" si="3"/>
        <v>42487</v>
      </c>
      <c r="D34" s="3">
        <f>G21+'140k loan'!G22+'100k Loan'!F13</f>
        <v>93847.930000000022</v>
      </c>
      <c r="F34" s="3">
        <f>+D33-D34</f>
        <v>21017.5</v>
      </c>
    </row>
    <row r="35" spans="2:7" x14ac:dyDescent="0.2">
      <c r="B35" s="73">
        <f t="shared" si="3"/>
        <v>42578</v>
      </c>
      <c r="D35" s="3">
        <f>G22+'140k loan'!G23+'100k Loan'!F14</f>
        <v>72620.260000000024</v>
      </c>
    </row>
    <row r="36" spans="2:7" x14ac:dyDescent="0.2">
      <c r="B36" s="73">
        <f t="shared" si="3"/>
        <v>42670</v>
      </c>
      <c r="D36" s="3">
        <f>G23+'140k loan'!G24+'100k Loan'!F15</f>
        <v>51180.470000000023</v>
      </c>
      <c r="F36">
        <v>8866.4599999999991</v>
      </c>
      <c r="G36" s="3">
        <f>+F36+D36</f>
        <v>60046.930000000022</v>
      </c>
    </row>
    <row r="37" spans="2:7" x14ac:dyDescent="0.2">
      <c r="B37" s="73">
        <f>'100k Loan'!B16</f>
        <v>42754</v>
      </c>
      <c r="D37" s="3">
        <f>G24+'140k loan'!G25+'100k Loan'!F16</f>
        <v>37284.490000000013</v>
      </c>
    </row>
    <row r="38" spans="2:7" x14ac:dyDescent="0.2">
      <c r="B38" s="73">
        <f>'100k Loan'!B17</f>
        <v>42845</v>
      </c>
      <c r="D38" s="3">
        <f>G25+'140k loan'!G26+'100k Loan'!F17</f>
        <v>32115.809999999998</v>
      </c>
    </row>
    <row r="39" spans="2:7" x14ac:dyDescent="0.2">
      <c r="B39" s="73">
        <f>'100k Loan'!B18</f>
        <v>42936</v>
      </c>
      <c r="D39" s="3">
        <f>G26+'140k loan'!G27+'100k Loan'!F18</f>
        <v>26895.439999999999</v>
      </c>
    </row>
    <row r="40" spans="2:7" x14ac:dyDescent="0.2">
      <c r="B40" s="73">
        <f>'100k Loan'!B19</f>
        <v>43028</v>
      </c>
      <c r="D40" s="3">
        <f>G27+'140k loan'!G28+'100k Loan'!F19</f>
        <v>21622.86</v>
      </c>
    </row>
    <row r="41" spans="2:7" x14ac:dyDescent="0.2">
      <c r="B41" s="73">
        <f>'100k Loan'!B20</f>
        <v>43119</v>
      </c>
      <c r="D41" s="3">
        <f>G28+'140k loan'!G29+'100k Loan'!F20</f>
        <v>16297.560000000001</v>
      </c>
    </row>
    <row r="42" spans="2:7" x14ac:dyDescent="0.2">
      <c r="B42" s="73">
        <f>'100k Loan'!B21</f>
        <v>43210</v>
      </c>
      <c r="D42" s="3">
        <f>G29+'140k loan'!G30+'100k Loan'!F21</f>
        <v>10919</v>
      </c>
    </row>
    <row r="43" spans="2:7" x14ac:dyDescent="0.2">
      <c r="B43" s="73">
        <f>'100k Loan'!B22</f>
        <v>43301</v>
      </c>
      <c r="D43" s="3">
        <f>G30+'140k loan'!G31+'100k Loan'!F22</f>
        <v>5486.66</v>
      </c>
    </row>
    <row r="44" spans="2:7" x14ac:dyDescent="0.2">
      <c r="B44" s="73">
        <f>'100k Loan'!B23</f>
        <v>43393</v>
      </c>
      <c r="D44" s="3">
        <f>G31+'140k loan'!G32+'100k Loan'!F23</f>
        <v>0</v>
      </c>
    </row>
    <row r="45" spans="2:7" x14ac:dyDescent="0.2">
      <c r="B45" s="73"/>
      <c r="D45" s="3"/>
    </row>
  </sheetData>
  <mergeCells count="4">
    <mergeCell ref="A1:A2"/>
    <mergeCell ref="C1:C2"/>
    <mergeCell ref="D1:D2"/>
    <mergeCell ref="E1:E2"/>
  </mergeCells>
  <phoneticPr fontId="0" type="noConversion"/>
  <pageMargins left="0.75" right="0.75" top="1" bottom="1" header="0.5" footer="0.5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24"/>
  <sheetViews>
    <sheetView workbookViewId="0">
      <selection activeCell="I25" sqref="I25"/>
    </sheetView>
  </sheetViews>
  <sheetFormatPr defaultColWidth="8.85546875" defaultRowHeight="12.75" x14ac:dyDescent="0.2"/>
  <cols>
    <col min="2" max="2" width="17.42578125" customWidth="1"/>
    <col min="3" max="5" width="11" customWidth="1"/>
    <col min="7" max="7" width="11.7109375" customWidth="1"/>
    <col min="10" max="10" width="10.140625" bestFit="1" customWidth="1"/>
  </cols>
  <sheetData>
    <row r="1" spans="1:10" ht="26.25" customHeight="1" x14ac:dyDescent="0.2">
      <c r="A1" s="147" t="s">
        <v>17</v>
      </c>
      <c r="B1" s="9" t="s">
        <v>18</v>
      </c>
      <c r="C1" s="147" t="s">
        <v>20</v>
      </c>
      <c r="D1" s="147" t="s">
        <v>21</v>
      </c>
      <c r="E1" s="147" t="s">
        <v>22</v>
      </c>
    </row>
    <row r="2" spans="1:10" x14ac:dyDescent="0.2">
      <c r="A2" s="148"/>
      <c r="B2" s="10" t="s">
        <v>19</v>
      </c>
      <c r="C2" s="148"/>
      <c r="D2" s="148"/>
      <c r="E2" s="148"/>
    </row>
    <row r="3" spans="1:10" x14ac:dyDescent="0.2">
      <c r="A3" s="31"/>
      <c r="B3" s="32"/>
      <c r="C3" s="32"/>
      <c r="D3" s="32"/>
      <c r="E3" s="32"/>
    </row>
    <row r="4" spans="1:10" ht="26.25" thickBot="1" x14ac:dyDescent="0.25">
      <c r="A4" s="28" t="s">
        <v>23</v>
      </c>
      <c r="B4" s="29"/>
      <c r="C4" s="27"/>
      <c r="D4" s="27">
        <v>140000</v>
      </c>
      <c r="E4" s="13"/>
      <c r="G4" s="30" t="s">
        <v>24</v>
      </c>
    </row>
    <row r="5" spans="1:10" x14ac:dyDescent="0.2">
      <c r="A5" s="14">
        <v>1</v>
      </c>
      <c r="B5" s="15">
        <v>40928</v>
      </c>
      <c r="C5" s="16">
        <v>7758.15</v>
      </c>
      <c r="D5" s="17">
        <v>6358.15</v>
      </c>
      <c r="E5" s="18">
        <v>1400</v>
      </c>
      <c r="G5" s="72">
        <f>+D4-D5</f>
        <v>133641.85</v>
      </c>
    </row>
    <row r="6" spans="1:10" x14ac:dyDescent="0.2">
      <c r="A6" s="14">
        <v>2</v>
      </c>
      <c r="B6" s="15">
        <v>41019</v>
      </c>
      <c r="C6" s="16">
        <v>7758.15</v>
      </c>
      <c r="D6" s="17">
        <v>6421.73</v>
      </c>
      <c r="E6" s="18">
        <v>1336.42</v>
      </c>
      <c r="G6" s="72">
        <f>+G5-D6</f>
        <v>127220.12000000001</v>
      </c>
    </row>
    <row r="7" spans="1:10" x14ac:dyDescent="0.2">
      <c r="A7" s="14">
        <v>3</v>
      </c>
      <c r="B7" s="15">
        <v>41110</v>
      </c>
      <c r="C7" s="16">
        <v>7758.15</v>
      </c>
      <c r="D7" s="17">
        <v>6485.95</v>
      </c>
      <c r="E7" s="18">
        <v>1272.2</v>
      </c>
      <c r="G7" s="72">
        <f t="shared" ref="G7:G24" si="0">+G6-D7</f>
        <v>120734.17000000001</v>
      </c>
    </row>
    <row r="8" spans="1:10" x14ac:dyDescent="0.2">
      <c r="A8" s="14">
        <v>4</v>
      </c>
      <c r="B8" s="15">
        <v>41202</v>
      </c>
      <c r="C8" s="16">
        <v>7758.15</v>
      </c>
      <c r="D8" s="17">
        <v>6550.81</v>
      </c>
      <c r="E8" s="18">
        <v>1207.3399999999999</v>
      </c>
      <c r="G8" s="72">
        <f t="shared" si="0"/>
        <v>114183.36000000002</v>
      </c>
    </row>
    <row r="9" spans="1:10" x14ac:dyDescent="0.2">
      <c r="A9" s="14">
        <v>5</v>
      </c>
      <c r="B9" s="15">
        <v>41294</v>
      </c>
      <c r="C9" s="16">
        <v>7758.15</v>
      </c>
      <c r="D9" s="17">
        <v>6616.32</v>
      </c>
      <c r="E9" s="18">
        <v>1141.83</v>
      </c>
      <c r="G9" s="72">
        <f t="shared" si="0"/>
        <v>107567.04000000001</v>
      </c>
    </row>
    <row r="10" spans="1:10" x14ac:dyDescent="0.2">
      <c r="A10" s="14">
        <v>6</v>
      </c>
      <c r="B10" s="15">
        <v>41384</v>
      </c>
      <c r="C10" s="16">
        <v>7758.15</v>
      </c>
      <c r="D10" s="17">
        <v>6682.48</v>
      </c>
      <c r="E10" s="18">
        <v>1075.67</v>
      </c>
      <c r="G10" s="72">
        <f t="shared" si="0"/>
        <v>100884.56000000001</v>
      </c>
      <c r="J10" s="3">
        <f>SUM(D12:E15)</f>
        <v>31032.600000000002</v>
      </c>
    </row>
    <row r="11" spans="1:10" x14ac:dyDescent="0.2">
      <c r="A11" s="14">
        <v>7</v>
      </c>
      <c r="B11" s="15">
        <v>41475</v>
      </c>
      <c r="C11" s="16">
        <v>7758.15</v>
      </c>
      <c r="D11" s="17">
        <v>6749.3</v>
      </c>
      <c r="E11" s="18">
        <v>1008.85</v>
      </c>
      <c r="G11" s="72">
        <f t="shared" si="0"/>
        <v>94135.260000000009</v>
      </c>
    </row>
    <row r="12" spans="1:10" x14ac:dyDescent="0.2">
      <c r="A12" s="14">
        <v>8</v>
      </c>
      <c r="B12" s="15">
        <v>41567</v>
      </c>
      <c r="C12" s="16">
        <v>7758.15</v>
      </c>
      <c r="D12" s="17">
        <v>6816.8</v>
      </c>
      <c r="E12" s="18">
        <v>941.35</v>
      </c>
      <c r="G12" s="72">
        <f t="shared" si="0"/>
        <v>87318.46</v>
      </c>
    </row>
    <row r="13" spans="1:10" x14ac:dyDescent="0.2">
      <c r="A13" s="14">
        <v>9</v>
      </c>
      <c r="B13" s="15">
        <v>41659</v>
      </c>
      <c r="C13" s="16">
        <v>7758.15</v>
      </c>
      <c r="D13" s="17">
        <v>6884.97</v>
      </c>
      <c r="E13" s="18">
        <v>873.18</v>
      </c>
      <c r="G13" s="72">
        <f t="shared" si="0"/>
        <v>80433.490000000005</v>
      </c>
    </row>
    <row r="14" spans="1:10" x14ac:dyDescent="0.2">
      <c r="A14" s="14">
        <v>10</v>
      </c>
      <c r="B14" s="15">
        <v>41749</v>
      </c>
      <c r="C14" s="16">
        <v>7758.15</v>
      </c>
      <c r="D14" s="17">
        <v>6953.82</v>
      </c>
      <c r="E14" s="18">
        <v>804.33</v>
      </c>
      <c r="G14" s="72">
        <f t="shared" si="0"/>
        <v>73479.670000000013</v>
      </c>
    </row>
    <row r="15" spans="1:10" x14ac:dyDescent="0.2">
      <c r="A15" s="14">
        <v>11</v>
      </c>
      <c r="B15" s="15">
        <v>41840</v>
      </c>
      <c r="C15" s="16">
        <v>7758.15</v>
      </c>
      <c r="D15" s="17">
        <v>7023.35</v>
      </c>
      <c r="E15" s="18">
        <v>734.8</v>
      </c>
      <c r="G15" s="72">
        <f t="shared" si="0"/>
        <v>66456.320000000007</v>
      </c>
    </row>
    <row r="16" spans="1:10" x14ac:dyDescent="0.2">
      <c r="A16" s="14">
        <v>12</v>
      </c>
      <c r="B16" s="15">
        <v>41932</v>
      </c>
      <c r="C16" s="16">
        <v>7758.15</v>
      </c>
      <c r="D16" s="17">
        <v>7093.59</v>
      </c>
      <c r="E16" s="18">
        <v>664.56</v>
      </c>
      <c r="G16" s="72">
        <f t="shared" si="0"/>
        <v>59362.73000000001</v>
      </c>
    </row>
    <row r="17" spans="1:9" x14ac:dyDescent="0.2">
      <c r="A17" s="14">
        <v>13</v>
      </c>
      <c r="B17" s="15">
        <v>42024</v>
      </c>
      <c r="C17" s="16">
        <v>7758.15</v>
      </c>
      <c r="D17" s="17">
        <v>7164.52</v>
      </c>
      <c r="E17" s="18">
        <v>593.63</v>
      </c>
      <c r="G17" s="72">
        <f t="shared" si="0"/>
        <v>52198.210000000006</v>
      </c>
    </row>
    <row r="18" spans="1:9" x14ac:dyDescent="0.2">
      <c r="A18" s="14">
        <v>14</v>
      </c>
      <c r="B18" s="15">
        <v>42114</v>
      </c>
      <c r="C18" s="16">
        <v>7758.15</v>
      </c>
      <c r="D18" s="17">
        <v>7236.17</v>
      </c>
      <c r="E18" s="18">
        <v>521.98</v>
      </c>
      <c r="G18" s="72">
        <f t="shared" si="0"/>
        <v>44962.040000000008</v>
      </c>
    </row>
    <row r="19" spans="1:9" x14ac:dyDescent="0.2">
      <c r="A19" s="14">
        <v>15</v>
      </c>
      <c r="B19" s="15">
        <v>42205</v>
      </c>
      <c r="C19" s="16">
        <v>7758.15</v>
      </c>
      <c r="D19" s="17">
        <v>7308.53</v>
      </c>
      <c r="E19" s="18">
        <v>449.62</v>
      </c>
      <c r="G19" s="72">
        <f t="shared" si="0"/>
        <v>37653.510000000009</v>
      </c>
    </row>
    <row r="20" spans="1:9" x14ac:dyDescent="0.2">
      <c r="A20" s="14">
        <v>16</v>
      </c>
      <c r="B20" s="15">
        <v>42297</v>
      </c>
      <c r="C20" s="16">
        <v>7758.15</v>
      </c>
      <c r="D20" s="17">
        <v>7381.61</v>
      </c>
      <c r="E20" s="18">
        <v>376.54</v>
      </c>
      <c r="G20" s="72">
        <f t="shared" si="0"/>
        <v>30271.900000000009</v>
      </c>
    </row>
    <row r="21" spans="1:9" x14ac:dyDescent="0.2">
      <c r="A21" s="14">
        <v>17</v>
      </c>
      <c r="B21" s="15">
        <v>42389</v>
      </c>
      <c r="C21" s="16">
        <v>7758.15</v>
      </c>
      <c r="D21" s="17">
        <v>7455.43</v>
      </c>
      <c r="E21" s="18">
        <v>302.72000000000003</v>
      </c>
      <c r="G21" s="72">
        <f t="shared" si="0"/>
        <v>22816.470000000008</v>
      </c>
    </row>
    <row r="22" spans="1:9" x14ac:dyDescent="0.2">
      <c r="A22" s="14">
        <v>18</v>
      </c>
      <c r="B22" s="15">
        <v>42480</v>
      </c>
      <c r="C22" s="16">
        <v>7758.15</v>
      </c>
      <c r="D22" s="17">
        <v>7529.99</v>
      </c>
      <c r="E22" s="18">
        <v>228.16</v>
      </c>
      <c r="G22" s="72">
        <f t="shared" si="0"/>
        <v>15286.480000000009</v>
      </c>
    </row>
    <row r="23" spans="1:9" x14ac:dyDescent="0.2">
      <c r="A23" s="14">
        <v>19</v>
      </c>
      <c r="B23" s="15">
        <v>42571</v>
      </c>
      <c r="C23" s="16">
        <v>7758.15</v>
      </c>
      <c r="D23" s="17">
        <v>7605.29</v>
      </c>
      <c r="E23" s="18">
        <v>152.86000000000001</v>
      </c>
      <c r="G23" s="3">
        <f t="shared" si="0"/>
        <v>7681.1900000000087</v>
      </c>
    </row>
    <row r="24" spans="1:9" ht="13.5" thickBot="1" x14ac:dyDescent="0.25">
      <c r="A24" s="19">
        <v>20</v>
      </c>
      <c r="B24" s="20">
        <v>42663</v>
      </c>
      <c r="C24" s="21">
        <v>7758</v>
      </c>
      <c r="D24" s="22">
        <v>7681.19</v>
      </c>
      <c r="E24" s="23">
        <v>76.81</v>
      </c>
      <c r="G24" s="3">
        <f t="shared" si="0"/>
        <v>9.0949470177292824E-12</v>
      </c>
      <c r="I24" s="90" t="s">
        <v>70</v>
      </c>
    </row>
  </sheetData>
  <mergeCells count="4">
    <mergeCell ref="A1:A2"/>
    <mergeCell ref="C1:C2"/>
    <mergeCell ref="D1:D2"/>
    <mergeCell ref="E1:E2"/>
  </mergeCells>
  <phoneticPr fontId="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36"/>
  <sheetViews>
    <sheetView workbookViewId="0">
      <selection activeCell="D16" sqref="D16:D23"/>
    </sheetView>
  </sheetViews>
  <sheetFormatPr defaultColWidth="8.85546875" defaultRowHeight="12.75" x14ac:dyDescent="0.2"/>
  <cols>
    <col min="1" max="1" width="6.7109375" customWidth="1"/>
    <col min="2" max="2" width="14.28515625" customWidth="1"/>
    <col min="3" max="5" width="17.85546875" customWidth="1"/>
    <col min="6" max="6" width="10.140625" bestFit="1" customWidth="1"/>
    <col min="9" max="9" width="10.140625" bestFit="1" customWidth="1"/>
    <col min="11" max="11" width="10.140625" bestFit="1" customWidth="1"/>
  </cols>
  <sheetData>
    <row r="1" spans="1:11" x14ac:dyDescent="0.2">
      <c r="A1" s="24" t="s">
        <v>26</v>
      </c>
      <c r="B1" s="35" t="s">
        <v>18</v>
      </c>
      <c r="C1" s="35" t="s">
        <v>20</v>
      </c>
      <c r="D1" s="35" t="s">
        <v>21</v>
      </c>
      <c r="E1" s="35" t="s">
        <v>22</v>
      </c>
    </row>
    <row r="2" spans="1:11" x14ac:dyDescent="0.2">
      <c r="A2" s="25"/>
      <c r="B2" s="36" t="s">
        <v>19</v>
      </c>
      <c r="C2" s="36"/>
      <c r="D2" s="36"/>
      <c r="E2" s="36"/>
    </row>
    <row r="3" spans="1:11" ht="26.25" customHeight="1" thickBot="1" x14ac:dyDescent="0.25">
      <c r="A3" s="149" t="s">
        <v>23</v>
      </c>
      <c r="B3" s="150"/>
      <c r="C3" s="13"/>
      <c r="D3" s="49">
        <v>100000</v>
      </c>
      <c r="E3" s="13"/>
      <c r="F3" s="48" t="s">
        <v>28</v>
      </c>
    </row>
    <row r="4" spans="1:11" x14ac:dyDescent="0.2">
      <c r="A4" s="37">
        <v>1</v>
      </c>
      <c r="B4" s="38">
        <v>41659</v>
      </c>
      <c r="C4" s="39">
        <v>5541.53</v>
      </c>
      <c r="D4" s="40">
        <v>4541.53</v>
      </c>
      <c r="E4" s="41">
        <v>1000</v>
      </c>
      <c r="F4" s="72">
        <f>+D3-D4</f>
        <v>95458.47</v>
      </c>
    </row>
    <row r="5" spans="1:11" x14ac:dyDescent="0.2">
      <c r="A5" s="37">
        <v>2</v>
      </c>
      <c r="B5" s="38">
        <v>41750</v>
      </c>
      <c r="C5" s="39">
        <v>5541.53</v>
      </c>
      <c r="D5" s="40">
        <v>4586.95</v>
      </c>
      <c r="E5" s="41">
        <v>954.58</v>
      </c>
      <c r="F5" s="72">
        <f>+F4-D5</f>
        <v>90871.52</v>
      </c>
    </row>
    <row r="6" spans="1:11" x14ac:dyDescent="0.2">
      <c r="A6" s="37">
        <v>3</v>
      </c>
      <c r="B6" s="38">
        <v>41841</v>
      </c>
      <c r="C6" s="39">
        <v>5541.53</v>
      </c>
      <c r="D6" s="40">
        <v>4632.82</v>
      </c>
      <c r="E6" s="41">
        <v>908.72</v>
      </c>
      <c r="F6" s="72">
        <f t="shared" ref="F6:F23" si="0">+F5-D6</f>
        <v>86238.700000000012</v>
      </c>
    </row>
    <row r="7" spans="1:11" x14ac:dyDescent="0.2">
      <c r="A7" s="37">
        <v>4</v>
      </c>
      <c r="B7" s="38">
        <v>41933</v>
      </c>
      <c r="C7" s="39">
        <v>5541.53</v>
      </c>
      <c r="D7" s="40">
        <v>4679.1400000000003</v>
      </c>
      <c r="E7" s="41">
        <v>862.39</v>
      </c>
      <c r="F7" s="72">
        <f t="shared" si="0"/>
        <v>81559.560000000012</v>
      </c>
    </row>
    <row r="8" spans="1:11" x14ac:dyDescent="0.2">
      <c r="A8" s="37">
        <v>5</v>
      </c>
      <c r="B8" s="38">
        <v>42024</v>
      </c>
      <c r="C8" s="39">
        <v>5541.53</v>
      </c>
      <c r="D8" s="40">
        <v>4725.93</v>
      </c>
      <c r="E8" s="41">
        <v>815.6</v>
      </c>
      <c r="F8" s="72">
        <f t="shared" si="0"/>
        <v>76833.63</v>
      </c>
    </row>
    <row r="9" spans="1:11" x14ac:dyDescent="0.2">
      <c r="A9" s="37">
        <v>6</v>
      </c>
      <c r="B9" s="38">
        <f>B5+365</f>
        <v>42115</v>
      </c>
      <c r="C9" s="39">
        <v>5541.53</v>
      </c>
      <c r="D9" s="40">
        <v>4773.2</v>
      </c>
      <c r="E9" s="41">
        <v>768.34</v>
      </c>
      <c r="F9" s="72">
        <f t="shared" si="0"/>
        <v>72060.430000000008</v>
      </c>
    </row>
    <row r="10" spans="1:11" x14ac:dyDescent="0.2">
      <c r="A10" s="37">
        <v>7</v>
      </c>
      <c r="B10" s="38">
        <f t="shared" ref="B10:B23" si="1">B6+365</f>
        <v>42206</v>
      </c>
      <c r="C10" s="39">
        <v>5541.53</v>
      </c>
      <c r="D10" s="40">
        <v>4820.93</v>
      </c>
      <c r="E10" s="41">
        <v>720.6</v>
      </c>
      <c r="F10" s="72">
        <f t="shared" si="0"/>
        <v>67239.5</v>
      </c>
    </row>
    <row r="11" spans="1:11" x14ac:dyDescent="0.2">
      <c r="A11" s="37">
        <v>8</v>
      </c>
      <c r="B11" s="38">
        <f t="shared" si="1"/>
        <v>42298</v>
      </c>
      <c r="C11" s="39">
        <v>5541.53</v>
      </c>
      <c r="D11" s="40">
        <v>4869.1400000000003</v>
      </c>
      <c r="E11" s="41">
        <v>672.4</v>
      </c>
      <c r="F11" s="72">
        <f t="shared" si="0"/>
        <v>62370.36</v>
      </c>
    </row>
    <row r="12" spans="1:11" x14ac:dyDescent="0.2">
      <c r="A12" s="37">
        <v>9</v>
      </c>
      <c r="B12" s="38">
        <f t="shared" si="1"/>
        <v>42389</v>
      </c>
      <c r="C12" s="39">
        <v>5541.53</v>
      </c>
      <c r="D12" s="40">
        <v>4917.83</v>
      </c>
      <c r="E12" s="41">
        <v>623.70000000000005</v>
      </c>
      <c r="F12" s="72">
        <f t="shared" si="0"/>
        <v>57452.53</v>
      </c>
    </row>
    <row r="13" spans="1:11" x14ac:dyDescent="0.2">
      <c r="A13" s="37">
        <v>10</v>
      </c>
      <c r="B13" s="38">
        <f t="shared" si="1"/>
        <v>42480</v>
      </c>
      <c r="C13" s="39">
        <v>5541.53</v>
      </c>
      <c r="D13" s="40">
        <v>4967.01</v>
      </c>
      <c r="E13" s="41">
        <v>574.53</v>
      </c>
      <c r="F13" s="72">
        <f t="shared" si="0"/>
        <v>52485.52</v>
      </c>
      <c r="I13" s="3">
        <f>SUM(D7:E10)</f>
        <v>22166.13</v>
      </c>
      <c r="K13" s="3">
        <f>+'140k loan'!J10+'160k loan'!K9+I13</f>
        <v>60270.680000000008</v>
      </c>
    </row>
    <row r="14" spans="1:11" x14ac:dyDescent="0.2">
      <c r="A14" s="37">
        <v>11</v>
      </c>
      <c r="B14" s="38">
        <f t="shared" si="1"/>
        <v>42571</v>
      </c>
      <c r="C14" s="39">
        <v>5541.53</v>
      </c>
      <c r="D14" s="40">
        <v>5016.68</v>
      </c>
      <c r="E14" s="41">
        <v>524.86</v>
      </c>
      <c r="F14" s="3">
        <f t="shared" si="0"/>
        <v>47468.84</v>
      </c>
    </row>
    <row r="15" spans="1:11" x14ac:dyDescent="0.2">
      <c r="A15" s="37">
        <v>12</v>
      </c>
      <c r="B15" s="38">
        <f t="shared" si="1"/>
        <v>42663</v>
      </c>
      <c r="C15" s="39">
        <v>5541.53</v>
      </c>
      <c r="D15" s="40">
        <v>5066.84</v>
      </c>
      <c r="E15" s="41">
        <v>474.69</v>
      </c>
      <c r="F15" s="3">
        <f t="shared" si="0"/>
        <v>42402</v>
      </c>
      <c r="H15" s="90" t="s">
        <v>70</v>
      </c>
    </row>
    <row r="16" spans="1:11" x14ac:dyDescent="0.2">
      <c r="A16" s="37">
        <v>13</v>
      </c>
      <c r="B16" s="38">
        <f t="shared" si="1"/>
        <v>42754</v>
      </c>
      <c r="C16" s="39">
        <v>5541.53</v>
      </c>
      <c r="D16" s="40">
        <v>5117.51</v>
      </c>
      <c r="E16" s="41">
        <v>424.02</v>
      </c>
      <c r="F16" s="3">
        <f t="shared" si="0"/>
        <v>37284.49</v>
      </c>
    </row>
    <row r="17" spans="1:7" x14ac:dyDescent="0.2">
      <c r="A17" s="37">
        <v>14</v>
      </c>
      <c r="B17" s="38">
        <f t="shared" si="1"/>
        <v>42845</v>
      </c>
      <c r="C17" s="39">
        <v>5541.53</v>
      </c>
      <c r="D17" s="40">
        <v>5168.68</v>
      </c>
      <c r="E17" s="41">
        <v>372.85</v>
      </c>
      <c r="F17" s="3">
        <f t="shared" si="0"/>
        <v>32115.809999999998</v>
      </c>
    </row>
    <row r="18" spans="1:7" x14ac:dyDescent="0.2">
      <c r="A18" s="37">
        <v>15</v>
      </c>
      <c r="B18" s="38">
        <f t="shared" si="1"/>
        <v>42936</v>
      </c>
      <c r="C18" s="39">
        <v>5541.53</v>
      </c>
      <c r="D18" s="40">
        <v>5220.37</v>
      </c>
      <c r="E18" s="41">
        <v>321.16000000000003</v>
      </c>
      <c r="F18" s="3">
        <f t="shared" si="0"/>
        <v>26895.439999999999</v>
      </c>
    </row>
    <row r="19" spans="1:7" x14ac:dyDescent="0.2">
      <c r="A19" s="37">
        <v>16</v>
      </c>
      <c r="B19" s="38">
        <f t="shared" si="1"/>
        <v>43028</v>
      </c>
      <c r="C19" s="39">
        <v>5541.53</v>
      </c>
      <c r="D19" s="40">
        <v>5272.58</v>
      </c>
      <c r="E19" s="41">
        <v>268.95</v>
      </c>
      <c r="F19" s="3">
        <f t="shared" si="0"/>
        <v>21622.86</v>
      </c>
    </row>
    <row r="20" spans="1:7" x14ac:dyDescent="0.2">
      <c r="A20" s="37">
        <v>17</v>
      </c>
      <c r="B20" s="38">
        <f t="shared" si="1"/>
        <v>43119</v>
      </c>
      <c r="C20" s="39">
        <v>5541.53</v>
      </c>
      <c r="D20" s="40">
        <v>5325.3</v>
      </c>
      <c r="E20" s="41">
        <v>216.23</v>
      </c>
      <c r="F20" s="3">
        <f t="shared" si="0"/>
        <v>16297.560000000001</v>
      </c>
    </row>
    <row r="21" spans="1:7" x14ac:dyDescent="0.2">
      <c r="A21" s="37">
        <v>18</v>
      </c>
      <c r="B21" s="38">
        <f t="shared" si="1"/>
        <v>43210</v>
      </c>
      <c r="C21" s="39">
        <v>5541.53</v>
      </c>
      <c r="D21" s="40">
        <v>5378.56</v>
      </c>
      <c r="E21" s="41">
        <v>162.97</v>
      </c>
      <c r="F21" s="3">
        <f t="shared" si="0"/>
        <v>10919</v>
      </c>
    </row>
    <row r="22" spans="1:7" x14ac:dyDescent="0.2">
      <c r="A22" s="37">
        <v>19</v>
      </c>
      <c r="B22" s="38">
        <f t="shared" si="1"/>
        <v>43301</v>
      </c>
      <c r="C22" s="39">
        <v>5541.53</v>
      </c>
      <c r="D22" s="40">
        <v>5432.34</v>
      </c>
      <c r="E22" s="41">
        <v>109.19</v>
      </c>
      <c r="F22" s="3">
        <f t="shared" si="0"/>
        <v>5486.66</v>
      </c>
    </row>
    <row r="23" spans="1:7" ht="13.5" thickBot="1" x14ac:dyDescent="0.25">
      <c r="A23" s="42">
        <v>20</v>
      </c>
      <c r="B23" s="38">
        <f t="shared" si="1"/>
        <v>43393</v>
      </c>
      <c r="C23" s="43">
        <v>5541.53</v>
      </c>
      <c r="D23" s="44">
        <v>5486.66</v>
      </c>
      <c r="E23" s="45">
        <v>54.87</v>
      </c>
      <c r="F23" s="3">
        <f t="shared" si="0"/>
        <v>0</v>
      </c>
    </row>
    <row r="24" spans="1:7" ht="15" x14ac:dyDescent="0.25">
      <c r="A24" s="1"/>
      <c r="B24" s="1"/>
      <c r="C24" s="1"/>
      <c r="D24" s="1"/>
      <c r="E24" s="1"/>
    </row>
    <row r="25" spans="1:7" ht="15" x14ac:dyDescent="0.25">
      <c r="A25" s="46" t="s">
        <v>27</v>
      </c>
      <c r="B25" s="1"/>
      <c r="C25" s="47">
        <v>110830.6</v>
      </c>
      <c r="D25" s="47">
        <v>100000</v>
      </c>
      <c r="E25" s="47">
        <v>10830.65</v>
      </c>
    </row>
    <row r="26" spans="1:7" ht="15" x14ac:dyDescent="0.25">
      <c r="A26" s="1"/>
      <c r="B26" s="1"/>
      <c r="C26" s="1"/>
      <c r="D26" s="1"/>
      <c r="E26" s="1"/>
    </row>
    <row r="28" spans="1:7" x14ac:dyDescent="0.2">
      <c r="G28" s="17"/>
    </row>
    <row r="29" spans="1:7" x14ac:dyDescent="0.2">
      <c r="G29" s="17"/>
    </row>
    <row r="30" spans="1:7" x14ac:dyDescent="0.2">
      <c r="G30" s="17"/>
    </row>
    <row r="31" spans="1:7" x14ac:dyDescent="0.2">
      <c r="G31" s="17"/>
    </row>
    <row r="32" spans="1:7" x14ac:dyDescent="0.2">
      <c r="G32" s="17"/>
    </row>
    <row r="33" spans="7:7" x14ac:dyDescent="0.2">
      <c r="G33" s="17"/>
    </row>
    <row r="34" spans="7:7" x14ac:dyDescent="0.2">
      <c r="G34" s="17"/>
    </row>
    <row r="35" spans="7:7" x14ac:dyDescent="0.2">
      <c r="G35" s="17"/>
    </row>
    <row r="36" spans="7:7" ht="13.5" thickBot="1" x14ac:dyDescent="0.25">
      <c r="G36" s="22"/>
    </row>
  </sheetData>
  <mergeCells count="1">
    <mergeCell ref="A3:B3"/>
  </mergeCells>
  <pageMargins left="0.7" right="0.7" top="0.75" bottom="0.75" header="0.3" footer="0.3"/>
  <pageSetup paperSize="9"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18"/>
  <sheetViews>
    <sheetView workbookViewId="0">
      <selection activeCell="H3" sqref="H3"/>
    </sheetView>
  </sheetViews>
  <sheetFormatPr defaultColWidth="8.85546875" defaultRowHeight="12.75" x14ac:dyDescent="0.2"/>
  <cols>
    <col min="1" max="1" width="10.140625" bestFit="1" customWidth="1"/>
    <col min="4" max="4" width="12" customWidth="1"/>
    <col min="6" max="6" width="12.85546875" bestFit="1" customWidth="1"/>
  </cols>
  <sheetData>
    <row r="1" spans="1:6" x14ac:dyDescent="0.2">
      <c r="A1" t="s">
        <v>58</v>
      </c>
      <c r="D1" t="s">
        <v>59</v>
      </c>
      <c r="E1">
        <v>9375</v>
      </c>
    </row>
    <row r="2" spans="1:6" x14ac:dyDescent="0.2">
      <c r="F2" t="s">
        <v>66</v>
      </c>
    </row>
    <row r="3" spans="1:6" x14ac:dyDescent="0.2">
      <c r="A3" s="86">
        <v>42471</v>
      </c>
      <c r="B3">
        <v>140625</v>
      </c>
      <c r="F3">
        <v>5625</v>
      </c>
    </row>
    <row r="4" spans="1:6" x14ac:dyDescent="0.2">
      <c r="A4" s="86">
        <v>42562</v>
      </c>
      <c r="B4">
        <f>+B3-$E$1</f>
        <v>131250</v>
      </c>
    </row>
    <row r="5" spans="1:6" x14ac:dyDescent="0.2">
      <c r="A5" s="86">
        <v>42654</v>
      </c>
      <c r="B5">
        <f t="shared" ref="B5:B18" si="0">+B4-$E$1</f>
        <v>121875</v>
      </c>
    </row>
    <row r="6" spans="1:6" x14ac:dyDescent="0.2">
      <c r="A6" s="86">
        <v>42746</v>
      </c>
      <c r="B6">
        <f t="shared" si="0"/>
        <v>112500</v>
      </c>
    </row>
    <row r="7" spans="1:6" x14ac:dyDescent="0.2">
      <c r="A7" s="86">
        <v>42836</v>
      </c>
      <c r="B7">
        <f t="shared" si="0"/>
        <v>103125</v>
      </c>
    </row>
    <row r="8" spans="1:6" x14ac:dyDescent="0.2">
      <c r="A8" s="86">
        <v>42927</v>
      </c>
      <c r="B8">
        <f t="shared" si="0"/>
        <v>93750</v>
      </c>
    </row>
    <row r="9" spans="1:6" x14ac:dyDescent="0.2">
      <c r="A9" s="86">
        <v>43019</v>
      </c>
      <c r="B9">
        <f t="shared" si="0"/>
        <v>84375</v>
      </c>
    </row>
    <row r="10" spans="1:6" x14ac:dyDescent="0.2">
      <c r="A10" s="86">
        <v>43111</v>
      </c>
      <c r="B10">
        <f t="shared" si="0"/>
        <v>75000</v>
      </c>
    </row>
    <row r="11" spans="1:6" x14ac:dyDescent="0.2">
      <c r="A11" s="86">
        <v>43201</v>
      </c>
      <c r="B11">
        <f t="shared" si="0"/>
        <v>65625</v>
      </c>
    </row>
    <row r="12" spans="1:6" x14ac:dyDescent="0.2">
      <c r="A12" s="86">
        <v>43292</v>
      </c>
      <c r="B12">
        <f t="shared" si="0"/>
        <v>56250</v>
      </c>
    </row>
    <row r="13" spans="1:6" x14ac:dyDescent="0.2">
      <c r="A13" s="86">
        <v>43384</v>
      </c>
      <c r="B13">
        <f t="shared" si="0"/>
        <v>46875</v>
      </c>
    </row>
    <row r="14" spans="1:6" x14ac:dyDescent="0.2">
      <c r="A14" s="86">
        <v>43476</v>
      </c>
      <c r="B14">
        <f t="shared" si="0"/>
        <v>37500</v>
      </c>
    </row>
    <row r="15" spans="1:6" x14ac:dyDescent="0.2">
      <c r="A15" s="86">
        <v>43566</v>
      </c>
      <c r="B15">
        <f t="shared" si="0"/>
        <v>28125</v>
      </c>
    </row>
    <row r="16" spans="1:6" x14ac:dyDescent="0.2">
      <c r="A16" s="86">
        <v>43657</v>
      </c>
      <c r="B16">
        <f t="shared" si="0"/>
        <v>18750</v>
      </c>
    </row>
    <row r="17" spans="1:2" x14ac:dyDescent="0.2">
      <c r="A17" s="86">
        <v>43749</v>
      </c>
      <c r="B17">
        <f t="shared" si="0"/>
        <v>9375</v>
      </c>
    </row>
    <row r="18" spans="1:2" x14ac:dyDescent="0.2">
      <c r="A18" s="86">
        <v>43841</v>
      </c>
      <c r="B18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Pension Value</vt:lpstr>
      <vt:lpstr>Apportionment</vt:lpstr>
      <vt:lpstr>160k loan</vt:lpstr>
      <vt:lpstr>140k loan</vt:lpstr>
      <vt:lpstr>100k Loan</vt:lpstr>
      <vt:lpstr>Mortgage</vt:lpstr>
      <vt:lpstr>Apportionment!Print_Area</vt:lpstr>
      <vt:lpstr>'Pension Value'!Print_Area</vt:lpstr>
    </vt:vector>
  </TitlesOfParts>
  <Company>Pebley Beach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Threlfall</dc:creator>
  <cp:lastModifiedBy>Emily</cp:lastModifiedBy>
  <cp:lastPrinted>2016-11-03T14:46:19Z</cp:lastPrinted>
  <dcterms:created xsi:type="dcterms:W3CDTF">2012-11-05T13:48:52Z</dcterms:created>
  <dcterms:modified xsi:type="dcterms:W3CDTF">2017-10-03T09:36:37Z</dcterms:modified>
</cp:coreProperties>
</file>