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\Desktop\"/>
    </mc:Choice>
  </mc:AlternateContent>
  <bookViews>
    <workbookView xWindow="0" yWindow="0" windowWidth="20490" windowHeight="7680" activeTab="5" xr2:uid="{00000000-000D-0000-FFFF-FFFF00000000}"/>
  </bookViews>
  <sheets>
    <sheet name="Top Sheet" sheetId="1" r:id="rId1"/>
    <sheet name="Notes" sheetId="6" r:id="rId2"/>
    <sheet name="Assets" sheetId="2" r:id="rId3"/>
    <sheet name="General Account" sheetId="3" r:id="rId4"/>
    <sheet name="John Tierney" sheetId="4" r:id="rId5"/>
    <sheet name="Susan Tierney" sheetId="5" r:id="rId6"/>
    <sheet name="Sheet1" sheetId="7" r:id="rId7"/>
    <sheet name="Sheet2" sheetId="8" r:id="rId8"/>
    <sheet name="Sheet3" sheetId="9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D14" i="9" l="1"/>
  <c r="D3" i="9"/>
  <c r="D4" i="9" s="1"/>
  <c r="D5" i="9" s="1"/>
  <c r="D6" i="9" s="1"/>
  <c r="D7" i="9" s="1"/>
  <c r="D8" i="9" s="1"/>
  <c r="D9" i="9" s="1"/>
  <c r="D10" i="9" s="1"/>
  <c r="D11" i="9" s="1"/>
  <c r="D12" i="9" s="1"/>
  <c r="F28" i="4"/>
  <c r="F26" i="4"/>
  <c r="F25" i="4"/>
  <c r="F24" i="4"/>
  <c r="F23" i="4"/>
  <c r="F22" i="4"/>
  <c r="F21" i="4"/>
  <c r="F20" i="4"/>
  <c r="F19" i="4"/>
  <c r="F18" i="4"/>
  <c r="E28" i="4"/>
  <c r="E26" i="4"/>
  <c r="E25" i="4"/>
  <c r="E24" i="4"/>
  <c r="E23" i="4"/>
  <c r="E22" i="4"/>
  <c r="E21" i="4"/>
  <c r="E20" i="4"/>
  <c r="E19" i="4"/>
  <c r="E18" i="4"/>
  <c r="E7" i="2" l="1"/>
  <c r="E4" i="2"/>
  <c r="D4" i="2"/>
  <c r="D7" i="2"/>
  <c r="B7" i="8"/>
  <c r="B4" i="5" l="1"/>
  <c r="B3" i="5"/>
  <c r="G20" i="7"/>
  <c r="B3" i="4"/>
  <c r="B5" i="1"/>
  <c r="B4" i="1"/>
  <c r="E9" i="2"/>
  <c r="B9" i="2"/>
  <c r="H20" i="7"/>
  <c r="E20" i="7"/>
  <c r="F14" i="7"/>
  <c r="H27" i="7"/>
  <c r="G6" i="7"/>
  <c r="G7" i="7" s="1"/>
  <c r="G8" i="7" s="1"/>
  <c r="G9" i="7" s="1"/>
  <c r="G10" i="7" s="1"/>
  <c r="G11" i="7" s="1"/>
  <c r="G14" i="7" s="1"/>
  <c r="G5" i="7"/>
  <c r="E5" i="7"/>
  <c r="E6" i="7" s="1"/>
  <c r="E7" i="7" s="1"/>
  <c r="E4" i="7"/>
  <c r="F4" i="7" s="1"/>
  <c r="H4" i="7" s="1"/>
  <c r="F5" i="7" s="1"/>
  <c r="H5" i="7" s="1"/>
  <c r="F6" i="7" s="1"/>
  <c r="H6" i="7" s="1"/>
  <c r="F3" i="7"/>
  <c r="H3" i="7" s="1"/>
  <c r="B5" i="5" l="1"/>
  <c r="B6" i="5"/>
  <c r="E8" i="7"/>
  <c r="F7" i="7"/>
  <c r="H7" i="7" s="1"/>
  <c r="C12" i="1" l="1"/>
  <c r="B8" i="5"/>
  <c r="E12" i="1" s="1"/>
  <c r="E9" i="7"/>
  <c r="F8" i="7"/>
  <c r="H8" i="7" s="1"/>
  <c r="B7" i="1"/>
  <c r="B10" i="5" l="1"/>
  <c r="F12" i="1" s="1"/>
  <c r="B9" i="5"/>
  <c r="D12" i="1"/>
  <c r="F9" i="7"/>
  <c r="E10" i="7"/>
  <c r="H9" i="7"/>
  <c r="F10" i="7" l="1"/>
  <c r="H10" i="7"/>
  <c r="E11" i="7"/>
  <c r="F11" i="7" l="1"/>
  <c r="H11" i="7"/>
  <c r="D9" i="2"/>
  <c r="B6" i="4" s="1"/>
  <c r="B4" i="4"/>
  <c r="B5" i="4" s="1"/>
  <c r="B8" i="4" s="1"/>
  <c r="E11" i="1" s="1"/>
  <c r="B9" i="4" l="1"/>
  <c r="C11" i="1"/>
  <c r="B10" i="4"/>
  <c r="F11" i="1" s="1"/>
  <c r="C19" i="1" l="1"/>
  <c r="D11" i="1"/>
  <c r="D19" i="1" s="1"/>
</calcChain>
</file>

<file path=xl/sharedStrings.xml><?xml version="1.0" encoding="utf-8"?>
<sst xmlns="http://schemas.openxmlformats.org/spreadsheetml/2006/main" count="175" uniqueCount="106">
  <si>
    <t>General Account</t>
  </si>
  <si>
    <t>Notes</t>
  </si>
  <si>
    <t>Asset</t>
  </si>
  <si>
    <t>Value</t>
  </si>
  <si>
    <t>Cash at bank</t>
  </si>
  <si>
    <t>Investments</t>
  </si>
  <si>
    <t>Date</t>
  </si>
  <si>
    <t>Description</t>
  </si>
  <si>
    <t>Amount</t>
  </si>
  <si>
    <t>Cash movement</t>
  </si>
  <si>
    <t>Fund value</t>
  </si>
  <si>
    <t>Fund split</t>
  </si>
  <si>
    <t>Total fund value</t>
  </si>
  <si>
    <t>Total investments</t>
  </si>
  <si>
    <t>Total cash at bank</t>
  </si>
  <si>
    <t>Members</t>
  </si>
  <si>
    <t>Individual Fund Value</t>
  </si>
  <si>
    <t>Individual Fund Split</t>
  </si>
  <si>
    <t>Splits</t>
  </si>
  <si>
    <t>Totals</t>
  </si>
  <si>
    <t>Date of Birth</t>
  </si>
  <si>
    <t>Date of split :</t>
  </si>
  <si>
    <t>Date established :</t>
  </si>
  <si>
    <t>The Tierney Family Trust</t>
  </si>
  <si>
    <t>John Tierney</t>
  </si>
  <si>
    <t>Susan Tierney</t>
  </si>
  <si>
    <t>Crystallisation of £80,000; tax-free lump sum of £20,000</t>
  </si>
  <si>
    <t>Crystallisation of £60,000; tax-free lump sum of £15,000</t>
  </si>
  <si>
    <t>Crystallisation of £40,000; tax-free lump sum of £10,000</t>
  </si>
  <si>
    <t>Crystallisation of £17,600; tax-free lump sum of £4,400</t>
  </si>
  <si>
    <t>Crystallisation of £515,176; tax-free lump sum of £128,794</t>
  </si>
  <si>
    <t>Crystallisation of £180,000; tax-free lump sum of £45,000</t>
  </si>
  <si>
    <t>Crystallisation of £59,988; tax-free lump sum of £14,997.00</t>
  </si>
  <si>
    <t>Crystallisation of £217,920; tax-free lump sum of £54,480</t>
  </si>
  <si>
    <t>Fund value £1,825,884</t>
  </si>
  <si>
    <t>Fund value £1,345,223</t>
  </si>
  <si>
    <t>Total</t>
  </si>
  <si>
    <t>Crystallised</t>
  </si>
  <si>
    <t>Uncrystallised</t>
  </si>
  <si>
    <t>£20k tfc; £60k to crystallised</t>
  </si>
  <si>
    <t>LTA Crystallised</t>
  </si>
  <si>
    <t>New fund value</t>
  </si>
  <si>
    <t>TFC</t>
  </si>
  <si>
    <t>£15k tfc; £45k to crystallised</t>
  </si>
  <si>
    <t>£10k tfc; £30k to crystallised</t>
  </si>
  <si>
    <t>£4,400 tfc; £13,200 to crystallised</t>
  </si>
  <si>
    <t>£128,794 tfc; £386,262 to crystallised</t>
  </si>
  <si>
    <t>£14,997 tfc; £44,991 to crystallised</t>
  </si>
  <si>
    <t>£45k tfc; £135k to crystallised</t>
  </si>
  <si>
    <t>John</t>
  </si>
  <si>
    <t>Sue</t>
  </si>
  <si>
    <t>£54,480 tfc; £163,440 to crystallised</t>
  </si>
  <si>
    <t>As of April 2012</t>
  </si>
  <si>
    <t>Loan</t>
  </si>
  <si>
    <t>Crystallisation of £160,000; tax-free lump sum of £40,000</t>
  </si>
  <si>
    <t>Quoted Securities</t>
  </si>
  <si>
    <t>Fund value (John)</t>
  </si>
  <si>
    <t>Fund value (Susan)</t>
  </si>
  <si>
    <t>£40k tfc; £120k to crystallised</t>
  </si>
  <si>
    <t>Individual fund value - £1,244,391.09</t>
  </si>
  <si>
    <t>Individual fund value - £333,563.91</t>
  </si>
  <si>
    <t>Individual fund value - £1,239,716.38</t>
  </si>
  <si>
    <t>Individual fund value - £343,351.62</t>
  </si>
  <si>
    <t>Individual fund value - £1,259,251.84</t>
  </si>
  <si>
    <t>Individual fund value - £348,762.16</t>
  </si>
  <si>
    <t>Individual fund value - £1,296,603.84</t>
  </si>
  <si>
    <t>Individual fund value - £359,107.16</t>
  </si>
  <si>
    <t>Individual fund value - £1,248,163.79</t>
  </si>
  <si>
    <t>Individual fund value - £345,691.21</t>
  </si>
  <si>
    <t>UK Bank Deposits</t>
  </si>
  <si>
    <t>Written off 2015-16</t>
  </si>
  <si>
    <t>John - crystallised</t>
  </si>
  <si>
    <t>John - total</t>
  </si>
  <si>
    <t>John - uncrystallised</t>
  </si>
  <si>
    <t>Fund value £1,577,955; John - £1,244,391.09 (£804,573 crystallised), Susan - £333,563.91 (£163,440 crystallised - 48.998%)</t>
  </si>
  <si>
    <t>Fund value £1,583,068; John - £1,239,716.38 (£924,573 crystallised - 74.579%), Susan - £343,351.62 (£168,235.43 crystallised)</t>
  </si>
  <si>
    <t>Fund value £1,608,014; John - £1,259,251.84 (£939,137.43 crystallised), Susan - £348,762.16 (£170,886.48 crystallised)</t>
  </si>
  <si>
    <t>Fund value £1,655,711; John - £1,296,603.84 (£966,994.18 crystallised), Susan - £359,107.16 (£175,955.33 crystallised)</t>
  </si>
  <si>
    <t>Fund value £1,593,855; John - £1,248,163.79 (£930,868.07 crystallised), Susan - £345,691.21 (£169,381.78 crystallised)</t>
  </si>
  <si>
    <t>Loan written off - £71,208 loss to scheme</t>
  </si>
  <si>
    <t>Crystallised fund</t>
  </si>
  <si>
    <t>Uncrystallised fund</t>
  </si>
  <si>
    <t>Crystallied fund % of total fund</t>
  </si>
  <si>
    <t>Total crystallised as of last BCE</t>
  </si>
  <si>
    <t>Crystallised Fund</t>
  </si>
  <si>
    <t>Uncrystallised Fund</t>
  </si>
  <si>
    <t>Taking into account £160,000 (£40k TFC) crystallised in 2012-13 - needs confirmation from Nikki that this went to John</t>
  </si>
  <si>
    <t>Fund split %</t>
  </si>
  <si>
    <t>Crystallised fund makes up 48.998% of total fund</t>
  </si>
  <si>
    <t>Susan - total</t>
  </si>
  <si>
    <t>Individual fund value - £1,268,540.31</t>
  </si>
  <si>
    <t>Individual fund value - £351,334.69</t>
  </si>
  <si>
    <t>Fund value £1,619,875; John - £1,268,540.31 (£946,064.67 crystallised), Susan - £351,334.69 (£172,146.97 crystallised)</t>
  </si>
  <si>
    <t>Individual fund value - £1,312,870.81</t>
  </si>
  <si>
    <t>Value at death</t>
  </si>
  <si>
    <t>Died 25/04/2017</t>
  </si>
  <si>
    <t>Individual fund value - £363,612.46</t>
  </si>
  <si>
    <t>LTA - 1.8m</t>
  </si>
  <si>
    <t>LTA - 1.5m</t>
  </si>
  <si>
    <t>Confirmed by Nikki; LTA 1.5m</t>
  </si>
  <si>
    <t>Drawdown LTA</t>
  </si>
  <si>
    <t>Total LTA</t>
  </si>
  <si>
    <t>Total LTA used</t>
  </si>
  <si>
    <t>LTA 1.5m</t>
  </si>
  <si>
    <t>LTA - 1m</t>
  </si>
  <si>
    <t>Account taken of (£333,744.89) as uncrystallised part of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</si>
</sst>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4" fontId="0" fillId="0" borderId="0" xfId="0" applyNumberFormat="1"/>
    <xf numFmtId="16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 wrapText="1"/>
    </xf>
    <xf numFmtId="10" fontId="1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 wrapText="1"/>
    </xf>
    <xf numFmtId="17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Font="1"/>
    <xf numFmtId="14" fontId="1" fillId="0" borderId="0" xfId="0" applyNumberFormat="1" applyFont="1" applyAlignment="1">
      <alignment horizontal="left"/>
    </xf>
    <xf numFmtId="165" fontId="0" fillId="0" borderId="0" xfId="0" applyNumberFormat="1"/>
    <xf numFmtId="0" fontId="0" fillId="2" borderId="0" xfId="0" applyFill="1" applyAlignment="1">
      <alignment horizontal="left"/>
    </xf>
    <xf numFmtId="8" fontId="0" fillId="0" borderId="0" xfId="0" applyNumberFormat="1"/>
    <xf numFmtId="14" fontId="0" fillId="0" borderId="0" xfId="0" applyNumberFormat="1" applyFill="1" applyAlignment="1">
      <alignment horizontal="left"/>
    </xf>
    <xf numFmtId="0" fontId="0" fillId="0" borderId="0" xfId="0" applyFill="1"/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B4" sqref="B4"/>
    </sheetView>
  </sheetViews>
  <sheetFormatPr defaultRowHeight="15" x14ac:dyDescent="0.25"/>
  <cols>
    <col min="1" max="1" width="27.28515625" style="14" customWidth="1"/>
    <col min="2" max="2" width="27.28515625" style="11" customWidth="1"/>
    <col min="3" max="9" width="27.28515625" style="14" customWidth="1"/>
    <col min="10" max="10" width="27.42578125" style="14" customWidth="1"/>
    <col min="11" max="11" width="73.140625" style="18" customWidth="1"/>
    <col min="12" max="16384" width="9.140625" style="14"/>
  </cols>
  <sheetData>
    <row r="1" spans="1:11" x14ac:dyDescent="0.25">
      <c r="A1" s="13" t="s">
        <v>23</v>
      </c>
      <c r="B1" s="14"/>
      <c r="C1" s="13"/>
      <c r="D1" s="13"/>
      <c r="E1" s="13"/>
      <c r="F1" s="13"/>
      <c r="G1" s="13"/>
      <c r="H1" s="13"/>
      <c r="I1" s="13"/>
      <c r="J1" s="13"/>
      <c r="K1" s="16"/>
    </row>
    <row r="2" spans="1:11" x14ac:dyDescent="0.25">
      <c r="A2" s="12" t="s">
        <v>22</v>
      </c>
      <c r="B2" s="12"/>
      <c r="C2" s="13"/>
      <c r="D2" s="13"/>
      <c r="E2" s="13"/>
      <c r="F2" s="13"/>
      <c r="G2" s="13"/>
      <c r="H2" s="13"/>
      <c r="I2" s="13"/>
      <c r="J2" s="13"/>
      <c r="K2" s="16"/>
    </row>
    <row r="3" spans="1:11" x14ac:dyDescent="0.25">
      <c r="A3" s="13" t="s">
        <v>21</v>
      </c>
      <c r="B3" s="25">
        <v>42465</v>
      </c>
      <c r="C3" s="13"/>
      <c r="D3" s="13"/>
      <c r="E3" s="13"/>
      <c r="F3" s="13"/>
      <c r="G3" s="13"/>
      <c r="H3" s="13"/>
      <c r="I3" s="13"/>
      <c r="J3" s="13"/>
      <c r="K3" s="16"/>
    </row>
    <row r="4" spans="1:11" x14ac:dyDescent="0.25">
      <c r="A4" s="17" t="s">
        <v>14</v>
      </c>
      <c r="B4" s="11">
        <f>Assets!B7</f>
        <v>124983</v>
      </c>
    </row>
    <row r="5" spans="1:11" s="11" customFormat="1" x14ac:dyDescent="0.25">
      <c r="A5" s="11" t="s">
        <v>13</v>
      </c>
      <c r="B5" s="11">
        <f>SUM(Assets!B4:B6)</f>
        <v>1551500.27</v>
      </c>
      <c r="K5" s="19"/>
    </row>
    <row r="6" spans="1:11" s="11" customFormat="1" x14ac:dyDescent="0.25">
      <c r="K6" s="19"/>
    </row>
    <row r="7" spans="1:11" s="15" customFormat="1" x14ac:dyDescent="0.25">
      <c r="A7" s="20" t="s">
        <v>12</v>
      </c>
      <c r="B7" s="12">
        <f>SUM(B4:B5)</f>
        <v>1676483.27</v>
      </c>
      <c r="K7" s="21"/>
    </row>
    <row r="9" spans="1:11" x14ac:dyDescent="0.25">
      <c r="A9" s="13" t="s">
        <v>15</v>
      </c>
      <c r="B9" s="12" t="s">
        <v>20</v>
      </c>
      <c r="C9" s="12" t="s">
        <v>16</v>
      </c>
      <c r="D9" s="13" t="s">
        <v>17</v>
      </c>
      <c r="E9" s="13" t="s">
        <v>84</v>
      </c>
      <c r="F9" s="13" t="s">
        <v>85</v>
      </c>
      <c r="G9" s="13" t="s">
        <v>1</v>
      </c>
    </row>
    <row r="10" spans="1:11" s="11" customFormat="1" x14ac:dyDescent="0.25">
      <c r="K10" s="19"/>
    </row>
    <row r="11" spans="1:11" s="11" customFormat="1" x14ac:dyDescent="0.25">
      <c r="A11" s="11" t="s">
        <v>24</v>
      </c>
      <c r="B11" s="22">
        <v>17746</v>
      </c>
      <c r="C11" s="11">
        <f>'John Tierney'!B5</f>
        <v>1240820.0777111282</v>
      </c>
      <c r="D11" s="23">
        <f>C11/B7</f>
        <v>0.74013269318883701</v>
      </c>
      <c r="E11" s="11">
        <f>'John Tierney'!B8</f>
        <v>925391.2057561822</v>
      </c>
      <c r="F11" s="11">
        <f>'John Tierney'!B10</f>
        <v>315428.87195494596</v>
      </c>
      <c r="K11" s="19"/>
    </row>
    <row r="12" spans="1:11" s="11" customFormat="1" x14ac:dyDescent="0.25">
      <c r="A12" s="11" t="s">
        <v>25</v>
      </c>
      <c r="B12" s="22">
        <v>18537</v>
      </c>
      <c r="C12" s="11">
        <f>'Susan Tierney'!B5</f>
        <v>435663.19228887191</v>
      </c>
      <c r="D12" s="23">
        <f>C12/B7</f>
        <v>0.25986730681116305</v>
      </c>
      <c r="E12" s="11">
        <f>'Susan Tierney'!B8</f>
        <v>213466.25095770147</v>
      </c>
      <c r="F12" s="11">
        <f>'Susan Tierney'!B10</f>
        <v>222196.94133117044</v>
      </c>
      <c r="K12" s="19"/>
    </row>
    <row r="13" spans="1:11" s="11" customFormat="1" x14ac:dyDescent="0.25">
      <c r="C13" s="15"/>
      <c r="K13" s="19"/>
    </row>
    <row r="14" spans="1:11" s="11" customFormat="1" x14ac:dyDescent="0.25">
      <c r="C14" s="15"/>
      <c r="K14" s="19"/>
    </row>
    <row r="15" spans="1:11" s="15" customFormat="1" x14ac:dyDescent="0.25">
      <c r="B15" s="11"/>
      <c r="K15" s="21"/>
    </row>
    <row r="16" spans="1:11" s="11" customFormat="1" x14ac:dyDescent="0.25">
      <c r="C16" s="15"/>
      <c r="K16" s="19"/>
    </row>
    <row r="17" spans="1:11" x14ac:dyDescent="0.25">
      <c r="A17" s="11" t="s">
        <v>0</v>
      </c>
      <c r="C17" s="15"/>
    </row>
    <row r="18" spans="1:11" x14ac:dyDescent="0.25">
      <c r="A18" s="13"/>
      <c r="C18" s="15"/>
    </row>
    <row r="19" spans="1:11" s="11" customFormat="1" x14ac:dyDescent="0.25">
      <c r="A19" s="12" t="s">
        <v>19</v>
      </c>
      <c r="C19" s="12">
        <f>SUM(C11:C12)</f>
        <v>1676483.27</v>
      </c>
      <c r="D19" s="20">
        <f>SUM(D11:D12)</f>
        <v>1</v>
      </c>
      <c r="E19" s="20"/>
      <c r="F19" s="20"/>
      <c r="K19" s="19"/>
    </row>
    <row r="20" spans="1:11" s="11" customFormat="1" x14ac:dyDescent="0.25">
      <c r="K20" s="19"/>
    </row>
    <row r="21" spans="1:11" s="11" customFormat="1" x14ac:dyDescent="0.25">
      <c r="K21" s="19"/>
    </row>
    <row r="22" spans="1:11" s="11" customFormat="1" x14ac:dyDescent="0.25">
      <c r="K22" s="19"/>
    </row>
    <row r="23" spans="1:11" s="11" customFormat="1" x14ac:dyDescent="0.25">
      <c r="K23" s="19"/>
    </row>
    <row r="24" spans="1:11" s="15" customFormat="1" x14ac:dyDescent="0.25">
      <c r="B24" s="11"/>
      <c r="K24" s="21"/>
    </row>
    <row r="25" spans="1:11" s="11" customFormat="1" x14ac:dyDescent="0.25">
      <c r="K25" s="19"/>
    </row>
    <row r="26" spans="1:11" s="15" customFormat="1" x14ac:dyDescent="0.25">
      <c r="B26" s="11"/>
      <c r="K26" s="2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activeCell="B11" sqref="B11"/>
    </sheetView>
  </sheetViews>
  <sheetFormatPr defaultRowHeight="15" x14ac:dyDescent="0.25"/>
  <cols>
    <col min="1" max="1" width="18.42578125" customWidth="1"/>
    <col min="2" max="2" width="118.85546875" customWidth="1"/>
  </cols>
  <sheetData>
    <row r="1" spans="1:2" x14ac:dyDescent="0.25">
      <c r="A1" s="6" t="s">
        <v>6</v>
      </c>
      <c r="B1" s="6" t="s">
        <v>1</v>
      </c>
    </row>
    <row r="3" spans="1:2" x14ac:dyDescent="0.25">
      <c r="A3" s="8">
        <v>40273</v>
      </c>
      <c r="B3" t="s">
        <v>35</v>
      </c>
    </row>
    <row r="4" spans="1:2" x14ac:dyDescent="0.25">
      <c r="A4" s="8">
        <v>40638</v>
      </c>
      <c r="B4" t="s">
        <v>34</v>
      </c>
    </row>
    <row r="5" spans="1:2" x14ac:dyDescent="0.25">
      <c r="A5" s="8">
        <v>41004</v>
      </c>
      <c r="B5" t="s">
        <v>74</v>
      </c>
    </row>
    <row r="6" spans="1:2" x14ac:dyDescent="0.25">
      <c r="A6" s="8">
        <v>41369</v>
      </c>
      <c r="B6" t="s">
        <v>75</v>
      </c>
    </row>
    <row r="7" spans="1:2" x14ac:dyDescent="0.25">
      <c r="A7" s="8">
        <v>41734</v>
      </c>
      <c r="B7" t="s">
        <v>76</v>
      </c>
    </row>
    <row r="8" spans="1:2" x14ac:dyDescent="0.25">
      <c r="A8" s="8">
        <v>42099</v>
      </c>
      <c r="B8" t="s">
        <v>77</v>
      </c>
    </row>
    <row r="9" spans="1:2" x14ac:dyDescent="0.25">
      <c r="A9" s="8">
        <v>42465</v>
      </c>
      <c r="B9" t="s">
        <v>79</v>
      </c>
    </row>
    <row r="10" spans="1:2" x14ac:dyDescent="0.25">
      <c r="A10" s="8">
        <v>42465</v>
      </c>
      <c r="B10" t="s">
        <v>78</v>
      </c>
    </row>
    <row r="11" spans="1:2" x14ac:dyDescent="0.25">
      <c r="A11" s="8">
        <v>42830</v>
      </c>
      <c r="B11" t="s">
        <v>92</v>
      </c>
    </row>
    <row r="14" spans="1:2" x14ac:dyDescent="0.25">
      <c r="A14" s="10"/>
    </row>
    <row r="15" spans="1:2" x14ac:dyDescent="0.25">
      <c r="A15" s="10"/>
      <c r="B15" s="24"/>
    </row>
    <row r="16" spans="1:2" x14ac:dyDescent="0.25">
      <c r="A16" s="10"/>
      <c r="B16" s="24"/>
    </row>
    <row r="17" spans="1:2" x14ac:dyDescent="0.25">
      <c r="A17" s="10"/>
      <c r="B17" s="24"/>
    </row>
    <row r="18" spans="1:2" x14ac:dyDescent="0.25">
      <c r="A18" s="10"/>
      <c r="B18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workbookViewId="0">
      <selection activeCell="F6" sqref="F6"/>
    </sheetView>
  </sheetViews>
  <sheetFormatPr defaultRowHeight="15" x14ac:dyDescent="0.25"/>
  <cols>
    <col min="1" max="1" width="27.42578125" style="14" customWidth="1"/>
    <col min="2" max="5" width="18.42578125" style="11" customWidth="1"/>
    <col min="6" max="6" width="59" style="14" customWidth="1"/>
    <col min="7" max="16384" width="9.140625" style="14"/>
  </cols>
  <sheetData>
    <row r="1" spans="1:6" x14ac:dyDescent="0.25">
      <c r="A1" s="13" t="s">
        <v>2</v>
      </c>
      <c r="B1" s="12" t="s">
        <v>3</v>
      </c>
      <c r="C1" s="12"/>
      <c r="D1" s="12" t="s">
        <v>18</v>
      </c>
      <c r="E1" s="12"/>
      <c r="F1" s="13" t="s">
        <v>1</v>
      </c>
    </row>
    <row r="2" spans="1:6" x14ac:dyDescent="0.25">
      <c r="C2" s="9" t="s">
        <v>0</v>
      </c>
      <c r="D2" s="9" t="s">
        <v>24</v>
      </c>
      <c r="E2" s="9" t="s">
        <v>25</v>
      </c>
    </row>
    <row r="4" spans="1:6" x14ac:dyDescent="0.25">
      <c r="A4" s="14" t="s">
        <v>69</v>
      </c>
      <c r="B4" s="11">
        <v>850000</v>
      </c>
      <c r="C4" s="15"/>
      <c r="D4" s="11">
        <f>B4*(1248163.79/1593855)</f>
        <v>665643.50050663331</v>
      </c>
      <c r="E4" s="11">
        <f>B4*(345691.21/1593855)</f>
        <v>184356.49949336672</v>
      </c>
    </row>
    <row r="5" spans="1:6" x14ac:dyDescent="0.25">
      <c r="A5" s="14" t="s">
        <v>53</v>
      </c>
      <c r="B5" s="11">
        <v>0</v>
      </c>
      <c r="D5" s="11">
        <v>0</v>
      </c>
      <c r="E5" s="11">
        <v>0</v>
      </c>
      <c r="F5" s="14" t="s">
        <v>70</v>
      </c>
    </row>
    <row r="6" spans="1:6" x14ac:dyDescent="0.25">
      <c r="A6" s="14" t="s">
        <v>55</v>
      </c>
      <c r="B6" s="11">
        <v>701500.27</v>
      </c>
      <c r="D6" s="11">
        <v>477301.14</v>
      </c>
      <c r="E6" s="11">
        <f>B6-D6</f>
        <v>224199.13</v>
      </c>
      <c r="F6" s="11"/>
    </row>
    <row r="7" spans="1:6" x14ac:dyDescent="0.25">
      <c r="A7" s="14" t="s">
        <v>4</v>
      </c>
      <c r="B7" s="11">
        <v>124983</v>
      </c>
      <c r="D7" s="11">
        <f>B7*(1248163.79/1593855)</f>
        <v>97875.437204494767</v>
      </c>
      <c r="E7" s="11">
        <f>B7*(345691.21/1593855)</f>
        <v>27107.562795505237</v>
      </c>
      <c r="F7" s="11"/>
    </row>
    <row r="9" spans="1:6" x14ac:dyDescent="0.25">
      <c r="A9" s="14" t="s">
        <v>19</v>
      </c>
      <c r="B9" s="11">
        <f>SUM(B4:B7)</f>
        <v>1676483.27</v>
      </c>
      <c r="D9" s="11">
        <f>SUM(D4:D7)</f>
        <v>1240820.0777111282</v>
      </c>
      <c r="E9" s="11">
        <f>SUM(E4:E7)</f>
        <v>435663.19228887191</v>
      </c>
      <c r="F9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workbookViewId="0">
      <selection activeCell="A11" sqref="A11"/>
    </sheetView>
  </sheetViews>
  <sheetFormatPr defaultRowHeight="15" x14ac:dyDescent="0.25"/>
  <cols>
    <col min="1" max="1" width="18.28515625" customWidth="1"/>
    <col min="2" max="2" width="36.85546875" style="3" customWidth="1"/>
    <col min="3" max="3" width="18.140625" style="11" customWidth="1"/>
    <col min="4" max="4" width="73.42578125" customWidth="1"/>
    <col min="5" max="5" width="18.5703125" customWidth="1"/>
    <col min="6" max="6" width="27.5703125" customWidth="1"/>
    <col min="7" max="7" width="18.42578125" customWidth="1"/>
  </cols>
  <sheetData>
    <row r="1" spans="1:4" x14ac:dyDescent="0.25">
      <c r="A1" s="6" t="s">
        <v>0</v>
      </c>
    </row>
    <row r="3" spans="1:4" x14ac:dyDescent="0.25">
      <c r="A3" t="s">
        <v>4</v>
      </c>
      <c r="B3" s="4"/>
    </row>
    <row r="4" spans="1:4" x14ac:dyDescent="0.25">
      <c r="A4" t="s">
        <v>5</v>
      </c>
      <c r="B4" s="4"/>
    </row>
    <row r="5" spans="1:4" x14ac:dyDescent="0.25">
      <c r="A5" t="s">
        <v>10</v>
      </c>
      <c r="B5" s="4"/>
    </row>
    <row r="6" spans="1:4" x14ac:dyDescent="0.25">
      <c r="A6" t="s">
        <v>11</v>
      </c>
      <c r="B6" s="5"/>
    </row>
    <row r="8" spans="1:4" x14ac:dyDescent="0.25">
      <c r="A8" s="6" t="s">
        <v>9</v>
      </c>
    </row>
    <row r="10" spans="1:4" x14ac:dyDescent="0.25">
      <c r="A10" s="6" t="s">
        <v>6</v>
      </c>
      <c r="B10" s="7" t="s">
        <v>7</v>
      </c>
      <c r="C10" s="12" t="s">
        <v>8</v>
      </c>
      <c r="D10" s="6" t="s">
        <v>1</v>
      </c>
    </row>
    <row r="12" spans="1:4" x14ac:dyDescent="0.25">
      <c r="A12" s="10"/>
    </row>
    <row r="13" spans="1:4" x14ac:dyDescent="0.25">
      <c r="A13" s="10"/>
    </row>
    <row r="14" spans="1:4" x14ac:dyDescent="0.25">
      <c r="A14" s="10"/>
    </row>
    <row r="15" spans="1:4" x14ac:dyDescent="0.25">
      <c r="A15" s="10"/>
    </row>
    <row r="16" spans="1:4" x14ac:dyDescent="0.25">
      <c r="A16" s="10"/>
    </row>
    <row r="17" spans="1:1" x14ac:dyDescent="0.25">
      <c r="A17" s="10"/>
    </row>
    <row r="18" spans="1:1" x14ac:dyDescent="0.25">
      <c r="A18" s="10"/>
    </row>
    <row r="19" spans="1:1" x14ac:dyDescent="0.25">
      <c r="A19" s="10"/>
    </row>
    <row r="20" spans="1:1" x14ac:dyDescent="0.25">
      <c r="A20" s="10"/>
    </row>
    <row r="21" spans="1:1" x14ac:dyDescent="0.25">
      <c r="A21" s="10"/>
    </row>
    <row r="22" spans="1:1" x14ac:dyDescent="0.25">
      <c r="A22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workbookViewId="0">
      <selection activeCell="B9" sqref="B9"/>
    </sheetView>
  </sheetViews>
  <sheetFormatPr defaultRowHeight="15" x14ac:dyDescent="0.25"/>
  <cols>
    <col min="1" max="1" width="29.7109375" style="14" customWidth="1"/>
    <col min="2" max="2" width="52.7109375" customWidth="1"/>
    <col min="3" max="3" width="18.28515625" style="11" customWidth="1"/>
    <col min="4" max="4" width="45.5703125" customWidth="1"/>
    <col min="5" max="5" width="25.85546875" customWidth="1"/>
    <col min="6" max="6" width="23" customWidth="1"/>
  </cols>
  <sheetData>
    <row r="1" spans="1:6" x14ac:dyDescent="0.25">
      <c r="A1" s="13" t="s">
        <v>24</v>
      </c>
      <c r="B1" t="s">
        <v>95</v>
      </c>
    </row>
    <row r="3" spans="1:6" x14ac:dyDescent="0.25">
      <c r="A3" s="14" t="s">
        <v>4</v>
      </c>
      <c r="B3" s="2">
        <f>Assets!D7</f>
        <v>97875.437204494767</v>
      </c>
    </row>
    <row r="4" spans="1:6" x14ac:dyDescent="0.25">
      <c r="A4" s="14" t="s">
        <v>5</v>
      </c>
      <c r="B4" s="2">
        <f>SUM(Assets!D4:D6)</f>
        <v>1142944.6405066333</v>
      </c>
    </row>
    <row r="5" spans="1:6" x14ac:dyDescent="0.25">
      <c r="A5" s="14" t="s">
        <v>10</v>
      </c>
      <c r="B5" s="2">
        <f>SUM(B3:B4)</f>
        <v>1240820.0777111282</v>
      </c>
    </row>
    <row r="6" spans="1:6" x14ac:dyDescent="0.25">
      <c r="A6" s="14" t="s">
        <v>87</v>
      </c>
      <c r="B6" s="26">
        <f>Assets!D9/Assets!B9</f>
        <v>0.74013269318883701</v>
      </c>
    </row>
    <row r="7" spans="1:6" x14ac:dyDescent="0.25">
      <c r="B7" s="2"/>
    </row>
    <row r="8" spans="1:6" x14ac:dyDescent="0.25">
      <c r="A8" s="14" t="s">
        <v>80</v>
      </c>
      <c r="B8" s="2">
        <f>B5*0.74579</f>
        <v>925391.2057561822</v>
      </c>
      <c r="D8" s="2"/>
    </row>
    <row r="9" spans="1:6" x14ac:dyDescent="0.25">
      <c r="A9" s="14" t="s">
        <v>82</v>
      </c>
      <c r="B9" s="26">
        <f>B8/B5</f>
        <v>0.74578999999999995</v>
      </c>
    </row>
    <row r="10" spans="1:6" x14ac:dyDescent="0.25">
      <c r="A10" s="14" t="s">
        <v>81</v>
      </c>
      <c r="B10" s="2">
        <f>B5-B8</f>
        <v>315428.87195494596</v>
      </c>
    </row>
    <row r="11" spans="1:6" ht="45" x14ac:dyDescent="0.25">
      <c r="A11" s="32" t="s">
        <v>83</v>
      </c>
      <c r="B11" s="33">
        <v>1232764</v>
      </c>
      <c r="C11" s="31"/>
      <c r="D11" s="34" t="s">
        <v>86</v>
      </c>
    </row>
    <row r="12" spans="1:6" x14ac:dyDescent="0.25">
      <c r="B12" s="1"/>
    </row>
    <row r="14" spans="1:6" x14ac:dyDescent="0.25">
      <c r="A14" s="13" t="s">
        <v>1</v>
      </c>
      <c r="B14" s="6"/>
      <c r="C14" s="12"/>
      <c r="D14" s="6"/>
    </row>
    <row r="15" spans="1:6" x14ac:dyDescent="0.25">
      <c r="A15" s="13"/>
      <c r="B15" s="6"/>
      <c r="C15" s="12"/>
      <c r="D15" s="6"/>
    </row>
    <row r="16" spans="1:6" x14ac:dyDescent="0.25">
      <c r="A16" s="13" t="s">
        <v>6</v>
      </c>
      <c r="B16" s="6" t="s">
        <v>7</v>
      </c>
      <c r="C16" s="12" t="s">
        <v>8</v>
      </c>
      <c r="D16" s="6" t="s">
        <v>1</v>
      </c>
      <c r="E16" t="s">
        <v>100</v>
      </c>
      <c r="F16" t="s">
        <v>101</v>
      </c>
    </row>
    <row r="18" spans="1:6" x14ac:dyDescent="0.25">
      <c r="A18" s="10">
        <v>40350</v>
      </c>
      <c r="B18" t="s">
        <v>26</v>
      </c>
      <c r="D18" t="s">
        <v>97</v>
      </c>
      <c r="E18" s="26">
        <f>60000/1800000</f>
        <v>3.3333333333333333E-2</v>
      </c>
      <c r="F18" s="26">
        <f>80000/1800000</f>
        <v>4.4444444444444446E-2</v>
      </c>
    </row>
    <row r="19" spans="1:6" x14ac:dyDescent="0.25">
      <c r="A19" s="10">
        <v>40408</v>
      </c>
      <c r="B19" t="s">
        <v>27</v>
      </c>
      <c r="D19" t="s">
        <v>97</v>
      </c>
      <c r="E19" s="26">
        <f>E18+(45000/1800000)</f>
        <v>5.8333333333333334E-2</v>
      </c>
      <c r="F19" s="26">
        <f>F18+(60000/1800000)</f>
        <v>7.7777777777777779E-2</v>
      </c>
    </row>
    <row r="20" spans="1:6" x14ac:dyDescent="0.25">
      <c r="A20" s="10">
        <v>40423</v>
      </c>
      <c r="B20" t="s">
        <v>28</v>
      </c>
      <c r="D20" t="s">
        <v>97</v>
      </c>
      <c r="E20" s="26">
        <f>E19+(30000/1800000)</f>
        <v>7.4999999999999997E-2</v>
      </c>
      <c r="F20" s="26">
        <f>F19+(40000/1800000)</f>
        <v>0.1</v>
      </c>
    </row>
    <row r="21" spans="1:6" x14ac:dyDescent="0.25">
      <c r="A21" s="10">
        <v>40448</v>
      </c>
      <c r="B21" t="s">
        <v>28</v>
      </c>
      <c r="D21" t="s">
        <v>97</v>
      </c>
      <c r="E21" s="26">
        <f>E20+(30000/1800000)</f>
        <v>9.166666666666666E-2</v>
      </c>
      <c r="F21" s="26">
        <f>F20+(40000/1800000)</f>
        <v>0.12222222222222223</v>
      </c>
    </row>
    <row r="22" spans="1:6" x14ac:dyDescent="0.25">
      <c r="A22" s="10">
        <v>40479</v>
      </c>
      <c r="B22" t="s">
        <v>29</v>
      </c>
      <c r="D22" t="s">
        <v>97</v>
      </c>
      <c r="E22" s="26">
        <f>E21+(13200/1800000)</f>
        <v>9.8999999999999991E-2</v>
      </c>
      <c r="F22" s="26">
        <f>F21+(17600/1800000)</f>
        <v>0.13200000000000001</v>
      </c>
    </row>
    <row r="23" spans="1:6" x14ac:dyDescent="0.25">
      <c r="A23" s="10">
        <v>40632</v>
      </c>
      <c r="B23" t="s">
        <v>26</v>
      </c>
      <c r="D23" t="s">
        <v>97</v>
      </c>
      <c r="E23" s="26">
        <f>E22+(60000/1800000)</f>
        <v>0.13233333333333333</v>
      </c>
      <c r="F23" s="26">
        <f>F22+(80000/1800000)</f>
        <v>0.17644444444444446</v>
      </c>
    </row>
    <row r="24" spans="1:6" ht="30" x14ac:dyDescent="0.25">
      <c r="A24" s="10">
        <v>40640</v>
      </c>
      <c r="B24" s="3" t="s">
        <v>30</v>
      </c>
      <c r="D24" t="s">
        <v>97</v>
      </c>
      <c r="E24" s="26">
        <f>E23+(386382/1800000)</f>
        <v>0.34699000000000002</v>
      </c>
      <c r="F24" s="26">
        <f>F23+(515176/1800000)</f>
        <v>0.46265333333333336</v>
      </c>
    </row>
    <row r="25" spans="1:6" x14ac:dyDescent="0.25">
      <c r="A25" s="10">
        <v>40640</v>
      </c>
      <c r="B25" t="s">
        <v>32</v>
      </c>
      <c r="D25" t="s">
        <v>97</v>
      </c>
      <c r="E25" s="26">
        <f>E24+(44991/1800000)</f>
        <v>0.37198500000000001</v>
      </c>
      <c r="F25" s="26">
        <f>F24+(59988/1800000)</f>
        <v>0.49598000000000003</v>
      </c>
    </row>
    <row r="26" spans="1:6" x14ac:dyDescent="0.25">
      <c r="A26" s="10">
        <v>40756</v>
      </c>
      <c r="B26" t="s">
        <v>31</v>
      </c>
      <c r="D26" t="s">
        <v>97</v>
      </c>
      <c r="E26" s="26">
        <f>E25+(135000/1800000)</f>
        <v>0.44698500000000002</v>
      </c>
      <c r="F26" s="26">
        <f>F25+(180000/1800000)</f>
        <v>0.59598000000000007</v>
      </c>
    </row>
    <row r="27" spans="1:6" x14ac:dyDescent="0.25">
      <c r="A27" s="10">
        <v>41004</v>
      </c>
      <c r="B27" t="s">
        <v>59</v>
      </c>
      <c r="D27" t="s">
        <v>98</v>
      </c>
      <c r="E27" s="26"/>
      <c r="F27" s="26"/>
    </row>
    <row r="28" spans="1:6" x14ac:dyDescent="0.25">
      <c r="A28" s="29">
        <v>41275</v>
      </c>
      <c r="B28" s="30" t="s">
        <v>54</v>
      </c>
      <c r="C28" s="31"/>
      <c r="D28" s="30" t="s">
        <v>99</v>
      </c>
      <c r="E28" s="26">
        <f>E26+(120000/1500000)</f>
        <v>0.52698500000000004</v>
      </c>
      <c r="F28" s="26">
        <f>F26+(160000/1500000)</f>
        <v>0.70264666666666675</v>
      </c>
    </row>
    <row r="29" spans="1:6" x14ac:dyDescent="0.25">
      <c r="A29" s="10">
        <v>41369</v>
      </c>
      <c r="B29" t="s">
        <v>61</v>
      </c>
    </row>
    <row r="30" spans="1:6" x14ac:dyDescent="0.25">
      <c r="A30" s="10">
        <v>41734</v>
      </c>
      <c r="B30" t="s">
        <v>63</v>
      </c>
    </row>
    <row r="31" spans="1:6" x14ac:dyDescent="0.25">
      <c r="A31" s="10">
        <v>42099</v>
      </c>
      <c r="B31" t="s">
        <v>65</v>
      </c>
    </row>
    <row r="32" spans="1:6" x14ac:dyDescent="0.25">
      <c r="A32" s="10">
        <v>42465</v>
      </c>
      <c r="B32" t="s">
        <v>67</v>
      </c>
      <c r="D32" s="28">
        <v>71918.149999999994</v>
      </c>
    </row>
    <row r="33" spans="1:4" x14ac:dyDescent="0.25">
      <c r="A33" s="10">
        <v>42830</v>
      </c>
      <c r="B33" t="s">
        <v>90</v>
      </c>
    </row>
    <row r="34" spans="1:4" x14ac:dyDescent="0.25">
      <c r="A34" s="10">
        <v>42850</v>
      </c>
      <c r="B34" t="s">
        <v>93</v>
      </c>
      <c r="D34" t="s">
        <v>94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tabSelected="1" workbookViewId="0">
      <selection activeCell="B8" sqref="B8"/>
    </sheetView>
  </sheetViews>
  <sheetFormatPr defaultRowHeight="15" x14ac:dyDescent="0.25"/>
  <cols>
    <col min="1" max="1" width="28.5703125" customWidth="1"/>
    <col min="2" max="2" width="51.42578125" customWidth="1"/>
    <col min="3" max="3" width="18.5703125" style="11" customWidth="1"/>
    <col min="4" max="4" width="45.42578125" customWidth="1"/>
  </cols>
  <sheetData>
    <row r="1" spans="1:4" x14ac:dyDescent="0.25">
      <c r="A1" s="6" t="s">
        <v>25</v>
      </c>
    </row>
    <row r="3" spans="1:4" x14ac:dyDescent="0.25">
      <c r="A3" t="s">
        <v>4</v>
      </c>
      <c r="B3" s="2">
        <f>Assets!E7</f>
        <v>27107.562795505237</v>
      </c>
    </row>
    <row r="4" spans="1:4" x14ac:dyDescent="0.25">
      <c r="A4" t="s">
        <v>5</v>
      </c>
      <c r="B4" s="2">
        <f>SUM(Assets!E4:E6)</f>
        <v>408555.62949336669</v>
      </c>
    </row>
    <row r="5" spans="1:4" x14ac:dyDescent="0.25">
      <c r="A5" t="s">
        <v>10</v>
      </c>
      <c r="B5" s="2">
        <f>SUM(B3:B4)</f>
        <v>435663.19228887191</v>
      </c>
    </row>
    <row r="6" spans="1:4" x14ac:dyDescent="0.25">
      <c r="A6" t="s">
        <v>87</v>
      </c>
      <c r="B6" s="26">
        <f>Assets!E9/Assets!B9</f>
        <v>0.25986730681116305</v>
      </c>
    </row>
    <row r="7" spans="1:4" x14ac:dyDescent="0.25">
      <c r="B7" s="1"/>
    </row>
    <row r="8" spans="1:4" x14ac:dyDescent="0.25">
      <c r="A8" s="14" t="s">
        <v>80</v>
      </c>
      <c r="B8" s="2">
        <f>B5*0.48998</f>
        <v>213466.25095770147</v>
      </c>
    </row>
    <row r="9" spans="1:4" x14ac:dyDescent="0.25">
      <c r="A9" s="14" t="s">
        <v>82</v>
      </c>
      <c r="B9" s="26">
        <f>B8/B5</f>
        <v>0.48998000000000003</v>
      </c>
    </row>
    <row r="10" spans="1:4" x14ac:dyDescent="0.25">
      <c r="A10" s="14" t="s">
        <v>81</v>
      </c>
      <c r="B10" s="2">
        <f>B5-B8</f>
        <v>222196.94133117044</v>
      </c>
    </row>
    <row r="11" spans="1:4" x14ac:dyDescent="0.25">
      <c r="A11" s="27" t="s">
        <v>83</v>
      </c>
      <c r="B11" s="2">
        <v>217920</v>
      </c>
    </row>
    <row r="13" spans="1:4" x14ac:dyDescent="0.25">
      <c r="A13" s="6" t="s">
        <v>1</v>
      </c>
      <c r="B13" s="6"/>
      <c r="C13" s="12"/>
      <c r="D13" s="6"/>
    </row>
    <row r="14" spans="1:4" x14ac:dyDescent="0.25">
      <c r="A14" s="6"/>
      <c r="B14" s="6"/>
      <c r="C14" s="12"/>
      <c r="D14" s="6"/>
    </row>
    <row r="15" spans="1:4" x14ac:dyDescent="0.25">
      <c r="A15" s="6" t="s">
        <v>6</v>
      </c>
      <c r="B15" s="6" t="s">
        <v>7</v>
      </c>
      <c r="C15" s="12" t="s">
        <v>8</v>
      </c>
      <c r="D15" s="6" t="s">
        <v>1</v>
      </c>
    </row>
    <row r="16" spans="1:4" x14ac:dyDescent="0.25">
      <c r="A16" s="6"/>
      <c r="B16" s="6"/>
      <c r="C16" s="12"/>
      <c r="D16" s="6"/>
    </row>
    <row r="17" spans="1:4" x14ac:dyDescent="0.25">
      <c r="A17" s="10">
        <v>40729</v>
      </c>
      <c r="B17" t="s">
        <v>33</v>
      </c>
    </row>
    <row r="18" spans="1:4" x14ac:dyDescent="0.25">
      <c r="A18" s="10">
        <v>41004</v>
      </c>
      <c r="B18" t="s">
        <v>60</v>
      </c>
    </row>
    <row r="19" spans="1:4" x14ac:dyDescent="0.25">
      <c r="A19" s="10">
        <v>41369</v>
      </c>
      <c r="B19" s="24" t="s">
        <v>62</v>
      </c>
    </row>
    <row r="20" spans="1:4" x14ac:dyDescent="0.25">
      <c r="A20" s="10">
        <v>41734</v>
      </c>
      <c r="B20" s="24" t="s">
        <v>64</v>
      </c>
    </row>
    <row r="21" spans="1:4" x14ac:dyDescent="0.25">
      <c r="A21" s="10">
        <v>42099</v>
      </c>
      <c r="B21" s="24" t="s">
        <v>66</v>
      </c>
    </row>
    <row r="22" spans="1:4" x14ac:dyDescent="0.25">
      <c r="A22" s="10">
        <v>42465</v>
      </c>
      <c r="B22" s="24" t="s">
        <v>68</v>
      </c>
      <c r="D22" t="s">
        <v>88</v>
      </c>
    </row>
    <row r="23" spans="1:4" x14ac:dyDescent="0.25">
      <c r="A23" s="10">
        <v>42830</v>
      </c>
      <c r="B23" s="3" t="s">
        <v>91</v>
      </c>
    </row>
    <row r="24" spans="1:4" x14ac:dyDescent="0.25">
      <c r="A24" s="10">
        <v>42850</v>
      </c>
      <c r="B24" s="24" t="s">
        <v>96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2"/>
  <sheetViews>
    <sheetView workbookViewId="0">
      <selection activeCell="C14" sqref="C14"/>
    </sheetView>
  </sheetViews>
  <sheetFormatPr defaultRowHeight="15" x14ac:dyDescent="0.25"/>
  <cols>
    <col min="1" max="1" width="27.5703125" customWidth="1"/>
    <col min="2" max="2" width="33.7109375" customWidth="1"/>
    <col min="3" max="4" width="27.28515625" style="11" customWidth="1"/>
    <col min="5" max="5" width="27.42578125" style="2" customWidth="1"/>
    <col min="6" max="6" width="27.5703125" style="2" customWidth="1"/>
    <col min="7" max="7" width="27.28515625" style="2" customWidth="1"/>
    <col min="8" max="8" width="27.7109375" style="2" customWidth="1"/>
  </cols>
  <sheetData>
    <row r="1" spans="1:8" x14ac:dyDescent="0.25">
      <c r="A1" t="s">
        <v>49</v>
      </c>
      <c r="C1" s="11" t="s">
        <v>36</v>
      </c>
      <c r="D1" s="11" t="s">
        <v>42</v>
      </c>
      <c r="E1" s="2" t="s">
        <v>37</v>
      </c>
      <c r="F1" s="2" t="s">
        <v>38</v>
      </c>
      <c r="G1" s="2" t="s">
        <v>40</v>
      </c>
      <c r="H1" s="2" t="s">
        <v>41</v>
      </c>
    </row>
    <row r="3" spans="1:8" x14ac:dyDescent="0.25">
      <c r="A3" s="8">
        <v>40350</v>
      </c>
      <c r="B3" s="8" t="s">
        <v>39</v>
      </c>
      <c r="C3" s="11">
        <v>1342573</v>
      </c>
      <c r="D3" s="11">
        <v>20000</v>
      </c>
      <c r="E3" s="2">
        <v>60000</v>
      </c>
      <c r="F3" s="2">
        <f>C3-(E3+D3)</f>
        <v>1262573</v>
      </c>
      <c r="G3" s="2">
        <v>80000</v>
      </c>
      <c r="H3" s="2">
        <f>E3+F3</f>
        <v>1322573</v>
      </c>
    </row>
    <row r="4" spans="1:8" x14ac:dyDescent="0.25">
      <c r="A4" s="8">
        <v>40408</v>
      </c>
      <c r="B4" t="s">
        <v>43</v>
      </c>
      <c r="C4" s="11">
        <v>1322559</v>
      </c>
      <c r="D4" s="11">
        <v>15000</v>
      </c>
      <c r="E4" s="2">
        <f>E3+45000</f>
        <v>105000</v>
      </c>
      <c r="F4" s="2">
        <f>C4-(E4+D4)</f>
        <v>1202559</v>
      </c>
      <c r="G4" s="2">
        <v>140000</v>
      </c>
      <c r="H4" s="2">
        <f>E4+F4</f>
        <v>1307559</v>
      </c>
    </row>
    <row r="5" spans="1:8" x14ac:dyDescent="0.25">
      <c r="A5" s="8">
        <v>40423</v>
      </c>
      <c r="B5" t="s">
        <v>44</v>
      </c>
      <c r="C5" s="11">
        <v>1308013</v>
      </c>
      <c r="D5" s="11">
        <v>10000</v>
      </c>
      <c r="E5" s="2">
        <f>E4+30000</f>
        <v>135000</v>
      </c>
      <c r="F5" s="2">
        <f>C5-(E5+D5)</f>
        <v>1163013</v>
      </c>
      <c r="G5" s="2">
        <f>G4+40000</f>
        <v>180000</v>
      </c>
      <c r="H5" s="2">
        <f>E5+F5</f>
        <v>1298013</v>
      </c>
    </row>
    <row r="6" spans="1:8" x14ac:dyDescent="0.25">
      <c r="A6" s="8">
        <v>40448</v>
      </c>
      <c r="B6" t="s">
        <v>44</v>
      </c>
      <c r="C6" s="11">
        <v>1298085</v>
      </c>
      <c r="D6" s="11">
        <v>10000</v>
      </c>
      <c r="E6" s="2">
        <f>E5+30000</f>
        <v>165000</v>
      </c>
      <c r="F6" s="2">
        <f>C6-(E6+D6)</f>
        <v>1123085</v>
      </c>
      <c r="G6" s="2">
        <f>G5+40000</f>
        <v>220000</v>
      </c>
      <c r="H6" s="2">
        <f>E6+F6</f>
        <v>1288085</v>
      </c>
    </row>
    <row r="7" spans="1:8" x14ac:dyDescent="0.25">
      <c r="A7" s="8">
        <v>40479</v>
      </c>
      <c r="B7" t="s">
        <v>45</v>
      </c>
      <c r="C7" s="11">
        <v>1288502</v>
      </c>
      <c r="D7" s="11">
        <v>4400</v>
      </c>
      <c r="E7" s="2">
        <f>E6+(D7*3)</f>
        <v>178200</v>
      </c>
      <c r="F7" s="2">
        <f t="shared" ref="F7:F11" si="0">C7-(E7+D7)</f>
        <v>1105902</v>
      </c>
      <c r="G7" s="2">
        <f>G6+(D7*4)</f>
        <v>237600</v>
      </c>
      <c r="H7" s="2">
        <f t="shared" ref="H7:H11" si="1">E7+F7</f>
        <v>1284102</v>
      </c>
    </row>
    <row r="8" spans="1:8" x14ac:dyDescent="0.25">
      <c r="A8" s="8">
        <v>40632</v>
      </c>
      <c r="B8" t="s">
        <v>39</v>
      </c>
      <c r="C8" s="11">
        <v>1847996</v>
      </c>
      <c r="D8" s="11">
        <v>20000</v>
      </c>
      <c r="E8" s="2">
        <f>E7+(D8*3)</f>
        <v>238200</v>
      </c>
      <c r="F8" s="2">
        <f t="shared" si="0"/>
        <v>1589796</v>
      </c>
      <c r="G8" s="2">
        <f t="shared" ref="G8:G11" si="2">G7+(D8*4)</f>
        <v>317600</v>
      </c>
      <c r="H8" s="2">
        <f t="shared" si="1"/>
        <v>1827996</v>
      </c>
    </row>
    <row r="9" spans="1:8" x14ac:dyDescent="0.25">
      <c r="A9" s="8">
        <v>40640</v>
      </c>
      <c r="B9" t="s">
        <v>46</v>
      </c>
      <c r="C9" s="11">
        <v>1826871</v>
      </c>
      <c r="D9" s="11">
        <v>128794</v>
      </c>
      <c r="E9" s="2">
        <f>E8+(D9*3)</f>
        <v>624582</v>
      </c>
      <c r="F9" s="2">
        <f t="shared" si="0"/>
        <v>1073495</v>
      </c>
      <c r="G9" s="2">
        <f t="shared" si="2"/>
        <v>832776</v>
      </c>
      <c r="H9" s="2">
        <f t="shared" si="1"/>
        <v>1698077</v>
      </c>
    </row>
    <row r="10" spans="1:8" x14ac:dyDescent="0.25">
      <c r="A10" s="8">
        <v>40640</v>
      </c>
      <c r="B10" t="s">
        <v>47</v>
      </c>
      <c r="C10" s="11">
        <v>1683057</v>
      </c>
      <c r="D10" s="11">
        <v>14997</v>
      </c>
      <c r="E10" s="2">
        <f>E9+(D10*3)</f>
        <v>669573</v>
      </c>
      <c r="F10" s="2">
        <f t="shared" si="0"/>
        <v>998487</v>
      </c>
      <c r="G10" s="2">
        <f t="shared" si="2"/>
        <v>892764</v>
      </c>
      <c r="H10" s="2">
        <f t="shared" si="1"/>
        <v>1668060</v>
      </c>
    </row>
    <row r="11" spans="1:8" x14ac:dyDescent="0.25">
      <c r="A11" s="8">
        <v>40756</v>
      </c>
      <c r="B11" t="s">
        <v>48</v>
      </c>
      <c r="C11" s="11">
        <v>1682949</v>
      </c>
      <c r="D11" s="11">
        <v>45000</v>
      </c>
      <c r="E11" s="2">
        <f>E10+(D11*3)</f>
        <v>804573</v>
      </c>
      <c r="F11" s="2">
        <f t="shared" si="0"/>
        <v>833376</v>
      </c>
      <c r="G11" s="2">
        <f t="shared" si="2"/>
        <v>1072764</v>
      </c>
      <c r="H11" s="2">
        <f t="shared" si="1"/>
        <v>1637949</v>
      </c>
    </row>
    <row r="14" spans="1:8" x14ac:dyDescent="0.25">
      <c r="A14" s="8">
        <v>41000</v>
      </c>
      <c r="B14" t="s">
        <v>56</v>
      </c>
      <c r="C14" s="11">
        <v>1300164</v>
      </c>
      <c r="D14" s="11">
        <v>0</v>
      </c>
      <c r="E14" s="2">
        <v>804573</v>
      </c>
      <c r="F14" s="2">
        <f>C14-E14</f>
        <v>495591</v>
      </c>
      <c r="G14" s="2">
        <f>G11</f>
        <v>1072764</v>
      </c>
    </row>
    <row r="15" spans="1:8" x14ac:dyDescent="0.25">
      <c r="B15" t="s">
        <v>57</v>
      </c>
      <c r="C15" s="11">
        <v>337785</v>
      </c>
      <c r="D15" s="11">
        <v>0</v>
      </c>
      <c r="E15" s="2">
        <v>163440</v>
      </c>
      <c r="F15" s="2">
        <v>174345</v>
      </c>
      <c r="G15" s="2">
        <v>217920</v>
      </c>
    </row>
    <row r="20" spans="1:8" x14ac:dyDescent="0.25">
      <c r="A20" s="8">
        <v>41275</v>
      </c>
      <c r="B20" t="s">
        <v>58</v>
      </c>
      <c r="C20" s="11">
        <v>1300164</v>
      </c>
      <c r="D20" s="11">
        <v>40000</v>
      </c>
      <c r="E20" s="2">
        <f>E14+(D20*3)</f>
        <v>924573</v>
      </c>
      <c r="G20" s="2">
        <f>G14+(D20*4)</f>
        <v>1232764</v>
      </c>
      <c r="H20" s="2">
        <f>C20-D20</f>
        <v>1260164</v>
      </c>
    </row>
    <row r="25" spans="1:8" x14ac:dyDescent="0.25">
      <c r="A25" t="s">
        <v>50</v>
      </c>
    </row>
    <row r="27" spans="1:8" x14ac:dyDescent="0.25">
      <c r="A27" s="8">
        <v>40729</v>
      </c>
      <c r="B27" t="s">
        <v>51</v>
      </c>
      <c r="D27" s="11">
        <v>54480</v>
      </c>
      <c r="E27" s="2">
        <v>163440</v>
      </c>
      <c r="F27" s="2">
        <v>174345</v>
      </c>
      <c r="G27" s="2">
        <v>217920</v>
      </c>
      <c r="H27" s="2">
        <f>E27+F27</f>
        <v>337785</v>
      </c>
    </row>
    <row r="31" spans="1:8" x14ac:dyDescent="0.25">
      <c r="A31" t="s">
        <v>52</v>
      </c>
      <c r="B31" t="s">
        <v>49</v>
      </c>
      <c r="C31" s="23">
        <v>0.79378000000000004</v>
      </c>
    </row>
    <row r="32" spans="1:8" x14ac:dyDescent="0.25">
      <c r="B32" t="s">
        <v>50</v>
      </c>
      <c r="C32" s="23">
        <v>0.20621999999999999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"/>
  <sheetViews>
    <sheetView workbookViewId="0">
      <selection activeCell="E14" sqref="E14"/>
    </sheetView>
  </sheetViews>
  <sheetFormatPr defaultRowHeight="15" x14ac:dyDescent="0.25"/>
  <cols>
    <col min="1" max="1" width="18.140625" customWidth="1"/>
    <col min="2" max="3" width="18.42578125" style="2" customWidth="1"/>
    <col min="4" max="4" width="20" style="2" customWidth="1"/>
    <col min="5" max="5" width="18.28515625" style="2" customWidth="1"/>
  </cols>
  <sheetData>
    <row r="1" spans="1:5" x14ac:dyDescent="0.25">
      <c r="B1" s="2" t="s">
        <v>72</v>
      </c>
      <c r="C1" s="2" t="s">
        <v>71</v>
      </c>
      <c r="D1" s="2" t="s">
        <v>73</v>
      </c>
      <c r="E1" s="2" t="s">
        <v>89</v>
      </c>
    </row>
    <row r="3" spans="1:5" x14ac:dyDescent="0.25">
      <c r="A3" s="8">
        <v>41369</v>
      </c>
      <c r="B3" s="2">
        <v>1239716.3799999999</v>
      </c>
    </row>
    <row r="4" spans="1:5" x14ac:dyDescent="0.25">
      <c r="A4" s="8">
        <v>41734</v>
      </c>
      <c r="B4" s="2">
        <v>1259251.8400000001</v>
      </c>
    </row>
    <row r="5" spans="1:5" x14ac:dyDescent="0.25">
      <c r="A5" s="8">
        <v>42099</v>
      </c>
      <c r="B5" s="2">
        <v>1296603.8400000001</v>
      </c>
    </row>
    <row r="6" spans="1:5" x14ac:dyDescent="0.25">
      <c r="A6" s="8">
        <v>42465</v>
      </c>
      <c r="B6" s="2">
        <v>1248163.79</v>
      </c>
      <c r="E6" s="2">
        <v>345691.21</v>
      </c>
    </row>
    <row r="7" spans="1:5" x14ac:dyDescent="0.25">
      <c r="A7" s="8">
        <v>42830</v>
      </c>
      <c r="B7" s="2">
        <f>(B6/1593855)*1619875</f>
        <v>1268540.3122155089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5"/>
  <sheetViews>
    <sheetView workbookViewId="0">
      <selection activeCell="D14" sqref="D14"/>
    </sheetView>
  </sheetViews>
  <sheetFormatPr defaultRowHeight="15" x14ac:dyDescent="0.25"/>
  <cols>
    <col min="1" max="1" width="13.5703125" customWidth="1"/>
    <col min="2" max="2" width="75" customWidth="1"/>
    <col min="3" max="3" width="13.28515625" customWidth="1"/>
    <col min="4" max="4" width="15" customWidth="1"/>
  </cols>
  <sheetData>
    <row r="1" spans="1:4" x14ac:dyDescent="0.25">
      <c r="A1" s="13" t="s">
        <v>6</v>
      </c>
      <c r="B1" s="6" t="s">
        <v>7</v>
      </c>
      <c r="C1" s="6" t="s">
        <v>1</v>
      </c>
      <c r="D1" s="6" t="s">
        <v>102</v>
      </c>
    </row>
    <row r="2" spans="1:4" x14ac:dyDescent="0.25">
      <c r="A2" s="14"/>
    </row>
    <row r="3" spans="1:4" x14ac:dyDescent="0.25">
      <c r="A3" s="10">
        <v>40350</v>
      </c>
      <c r="B3" t="s">
        <v>26</v>
      </c>
      <c r="C3" t="s">
        <v>97</v>
      </c>
      <c r="D3" s="26">
        <f>80000/1800000</f>
        <v>4.4444444444444446E-2</v>
      </c>
    </row>
    <row r="4" spans="1:4" x14ac:dyDescent="0.25">
      <c r="A4" s="10">
        <v>40408</v>
      </c>
      <c r="B4" t="s">
        <v>27</v>
      </c>
      <c r="C4" t="s">
        <v>97</v>
      </c>
      <c r="D4" s="26">
        <f>D3+(60000/1800000)</f>
        <v>7.7777777777777779E-2</v>
      </c>
    </row>
    <row r="5" spans="1:4" x14ac:dyDescent="0.25">
      <c r="A5" s="10">
        <v>40423</v>
      </c>
      <c r="B5" t="s">
        <v>28</v>
      </c>
      <c r="C5" t="s">
        <v>97</v>
      </c>
      <c r="D5" s="26">
        <f>D4+(40000/1800000)</f>
        <v>0.1</v>
      </c>
    </row>
    <row r="6" spans="1:4" x14ac:dyDescent="0.25">
      <c r="A6" s="10">
        <v>40448</v>
      </c>
      <c r="B6" t="s">
        <v>28</v>
      </c>
      <c r="C6" t="s">
        <v>97</v>
      </c>
      <c r="D6" s="26">
        <f>D5+(40000/1800000)</f>
        <v>0.12222222222222223</v>
      </c>
    </row>
    <row r="7" spans="1:4" x14ac:dyDescent="0.25">
      <c r="A7" s="10">
        <v>40479</v>
      </c>
      <c r="B7" t="s">
        <v>29</v>
      </c>
      <c r="C7" t="s">
        <v>97</v>
      </c>
      <c r="D7" s="26">
        <f>D6+(17600/1800000)</f>
        <v>0.13200000000000001</v>
      </c>
    </row>
    <row r="8" spans="1:4" x14ac:dyDescent="0.25">
      <c r="A8" s="10">
        <v>40632</v>
      </c>
      <c r="B8" t="s">
        <v>26</v>
      </c>
      <c r="C8" t="s">
        <v>97</v>
      </c>
      <c r="D8" s="26">
        <f>D7+(80000/1800000)</f>
        <v>0.17644444444444446</v>
      </c>
    </row>
    <row r="9" spans="1:4" x14ac:dyDescent="0.25">
      <c r="A9" s="10">
        <v>40640</v>
      </c>
      <c r="B9" s="3" t="s">
        <v>30</v>
      </c>
      <c r="C9" t="s">
        <v>97</v>
      </c>
      <c r="D9" s="26">
        <f>D8+(515176/1800000)</f>
        <v>0.46265333333333336</v>
      </c>
    </row>
    <row r="10" spans="1:4" x14ac:dyDescent="0.25">
      <c r="A10" s="10">
        <v>40640</v>
      </c>
      <c r="B10" t="s">
        <v>32</v>
      </c>
      <c r="C10" t="s">
        <v>97</v>
      </c>
      <c r="D10" s="26">
        <f>D9+(59988/1800000)</f>
        <v>0.49598000000000003</v>
      </c>
    </row>
    <row r="11" spans="1:4" x14ac:dyDescent="0.25">
      <c r="A11" s="10">
        <v>40756</v>
      </c>
      <c r="B11" t="s">
        <v>31</v>
      </c>
      <c r="C11" t="s">
        <v>97</v>
      </c>
      <c r="D11" s="26">
        <f>D10+(180000/1800000)</f>
        <v>0.59598000000000007</v>
      </c>
    </row>
    <row r="12" spans="1:4" x14ac:dyDescent="0.25">
      <c r="A12" s="29">
        <v>41275</v>
      </c>
      <c r="B12" s="30" t="s">
        <v>54</v>
      </c>
      <c r="C12" s="30" t="s">
        <v>103</v>
      </c>
      <c r="D12" s="26">
        <f>D11+(160000/1500000)</f>
        <v>0.70264666666666675</v>
      </c>
    </row>
    <row r="14" spans="1:4" x14ac:dyDescent="0.25">
      <c r="A14" s="8">
        <v>42850</v>
      </c>
      <c r="B14" t="s">
        <v>105</v>
      </c>
      <c r="C14" t="s">
        <v>104</v>
      </c>
      <c r="D14" s="26">
        <f>D12+(333744.89/1000000)</f>
        <v>1.0363915566666668</v>
      </c>
    </row>
    <row r="15" spans="1:4" x14ac:dyDescent="0.25">
      <c r="B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Top Sheet</vt:lpstr>
      <vt:lpstr>Notes</vt:lpstr>
      <vt:lpstr>Assets</vt:lpstr>
      <vt:lpstr>General Account</vt:lpstr>
      <vt:lpstr>John Tierney</vt:lpstr>
      <vt:lpstr>Susan Tierney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2017-05-17T09:28:40Z</dcterms:created>
  <dcterms:modified xsi:type="dcterms:W3CDTF">2017-08-24T12:36:15Z</dcterms:modified>
</cp:coreProperties>
</file>